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40" tabRatio="842" activeTab="0"/>
  </bookViews>
  <sheets>
    <sheet name="Introduction" sheetId="1" r:id="rId1"/>
    <sheet name="Model Constraints" sheetId="2" r:id="rId2"/>
    <sheet name="Mass Batching Model" sheetId="3" r:id="rId3"/>
    <sheet name="Volume Model Constraints" sheetId="4" r:id="rId4"/>
    <sheet name="Volume Batching Model" sheetId="5" r:id="rId5"/>
    <sheet name="Source Data" sheetId="6" r:id="rId6"/>
    <sheet name="Specific Emissions" sheetId="7" r:id="rId7"/>
    <sheet name="Pie Charts" sheetId="8" state="hidden" r:id="rId8"/>
  </sheets>
  <definedNames>
    <definedName name="Aggregateunit">'Specific Emissions'!$A$50:$A$51</definedName>
    <definedName name="All_Service_Types">'Specific Emissions'!$C$13:$C$16</definedName>
    <definedName name="Blendmethod">'Specific Emissions'!$A$42:$A$43</definedName>
    <definedName name="Cement_Types" localSheetId="3">'Specific Emissions'!#REF!</definedName>
    <definedName name="Cement_Types">'Specific Emissions'!#REF!</definedName>
    <definedName name="ManufacturedCementTypes">'Specific Emissions'!$A$23:$A$39</definedName>
    <definedName name="ManufacturedTypesTable">'Specific Emissions'!$A$23:$I$39</definedName>
    <definedName name="PrecastCementTypes">'Specific Emissions'!$C$13:$I$16</definedName>
    <definedName name="_xlnm.Print_Area" localSheetId="0">'Introduction'!$A$1:$J$16</definedName>
    <definedName name="_xlnm.Print_Area" localSheetId="2">'Mass Batching Model'!$A$1:$S$105</definedName>
    <definedName name="_xlnm.Print_Area" localSheetId="5">'Source Data'!$A$1:$K$22</definedName>
    <definedName name="_xlnm.Print_Area" localSheetId="6">'Specific Emissions'!$A$1:$J$40</definedName>
    <definedName name="_xlnm.Print_Area" localSheetId="4">'Volume Batching Model'!$A$1:$S$93</definedName>
    <definedName name="Sitemix">'Specific Emissions'!$A$46:$A$48</definedName>
    <definedName name="Z_57F81DD2_1186_416D_B779_19D3E77697C5_.wvu.Cols" localSheetId="0" hidden="1">'Introduction'!$L:$IV</definedName>
    <definedName name="Z_57F81DD2_1186_416D_B779_19D3E77697C5_.wvu.Cols" localSheetId="2" hidden="1">'Mass Batching Model'!$T:$IV</definedName>
    <definedName name="Z_57F81DD2_1186_416D_B779_19D3E77697C5_.wvu.Cols" localSheetId="1" hidden="1">'Model Constraints'!$E:$IV</definedName>
    <definedName name="Z_57F81DD2_1186_416D_B779_19D3E77697C5_.wvu.Cols" localSheetId="5" hidden="1">'Source Data'!$K:$IV</definedName>
    <definedName name="Z_57F81DD2_1186_416D_B779_19D3E77697C5_.wvu.Cols" localSheetId="6" hidden="1">'Specific Emissions'!$L:$IP</definedName>
    <definedName name="Z_57F81DD2_1186_416D_B779_19D3E77697C5_.wvu.Cols" localSheetId="4" hidden="1">'Volume Batching Model'!$T:$IV</definedName>
    <definedName name="Z_57F81DD2_1186_416D_B779_19D3E77697C5_.wvu.Cols" localSheetId="3" hidden="1">'Volume Model Constraints'!$E:$IV</definedName>
    <definedName name="Z_57F81DD2_1186_416D_B779_19D3E77697C5_.wvu.PrintArea" localSheetId="0" hidden="1">'Introduction'!$A$1:$J$16</definedName>
    <definedName name="Z_57F81DD2_1186_416D_B779_19D3E77697C5_.wvu.PrintArea" localSheetId="2" hidden="1">'Mass Batching Model'!$A$1:$S$105</definedName>
    <definedName name="Z_57F81DD2_1186_416D_B779_19D3E77697C5_.wvu.PrintArea" localSheetId="5" hidden="1">'Source Data'!$A$1:$K$22</definedName>
    <definedName name="Z_57F81DD2_1186_416D_B779_19D3E77697C5_.wvu.PrintArea" localSheetId="6" hidden="1">'Specific Emissions'!$A$1:$W$12</definedName>
    <definedName name="Z_57F81DD2_1186_416D_B779_19D3E77697C5_.wvu.PrintArea" localSheetId="4" hidden="1">'Volume Batching Model'!$A$1:$S$93</definedName>
    <definedName name="Z_57F81DD2_1186_416D_B779_19D3E77697C5_.wvu.Rows" localSheetId="0" hidden="1">'Introduction'!$30:$65536,'Introduction'!$18:$23,'Introduction'!$25:$29</definedName>
    <definedName name="Z_57F81DD2_1186_416D_B779_19D3E77697C5_.wvu.Rows" localSheetId="2" hidden="1">'Mass Batching Model'!$279:$65536,'Mass Batching Model'!$88:$278</definedName>
    <definedName name="Z_57F81DD2_1186_416D_B779_19D3E77697C5_.wvu.Rows" localSheetId="1" hidden="1">'Model Constraints'!#REF!,'Model Constraints'!#REF!</definedName>
    <definedName name="Z_57F81DD2_1186_416D_B779_19D3E77697C5_.wvu.Rows" localSheetId="5" hidden="1">'Source Data'!$39:$65536,'Source Data'!$23:$38</definedName>
    <definedName name="Z_57F81DD2_1186_416D_B779_19D3E77697C5_.wvu.Rows" localSheetId="6" hidden="1">'Specific Emissions'!$69:$65496,'Specific Emissions'!$13:$68</definedName>
    <definedName name="Z_57F81DD2_1186_416D_B779_19D3E77697C5_.wvu.Rows" localSheetId="4" hidden="1">'Volume Batching Model'!$280:$65536,'Volume Batching Model'!$76:$279</definedName>
    <definedName name="Z_57F81DD2_1186_416D_B779_19D3E77697C5_.wvu.Rows" localSheetId="3" hidden="1">'Volume Model Constraints'!#REF!,'Volume Model Constraints'!#REF!</definedName>
    <definedName name="Z_9A7EAFA5_9A37_43E4_8F3B_00DAF3A84C34_.wvu.Cols" localSheetId="0" hidden="1">'Introduction'!$K:$IV</definedName>
    <definedName name="Z_9A7EAFA5_9A37_43E4_8F3B_00DAF3A84C34_.wvu.Cols" localSheetId="2" hidden="1">'Mass Batching Model'!$T:$IV</definedName>
    <definedName name="Z_9A7EAFA5_9A37_43E4_8F3B_00DAF3A84C34_.wvu.Cols" localSheetId="5" hidden="1">'Source Data'!$K:$IV</definedName>
    <definedName name="Z_9A7EAFA5_9A37_43E4_8F3B_00DAF3A84C34_.wvu.Cols" localSheetId="6" hidden="1">'Specific Emissions'!$L:$IP</definedName>
    <definedName name="Z_9A7EAFA5_9A37_43E4_8F3B_00DAF3A84C34_.wvu.Cols" localSheetId="4" hidden="1">'Volume Batching Model'!$T:$IV</definedName>
    <definedName name="Z_9A7EAFA5_9A37_43E4_8F3B_00DAF3A84C34_.wvu.PrintArea" localSheetId="0" hidden="1">'Introduction'!$A$1:$J$16</definedName>
    <definedName name="Z_9A7EAFA5_9A37_43E4_8F3B_00DAF3A84C34_.wvu.PrintArea" localSheetId="2" hidden="1">'Mass Batching Model'!$A$1:$S$105</definedName>
    <definedName name="Z_9A7EAFA5_9A37_43E4_8F3B_00DAF3A84C34_.wvu.PrintArea" localSheetId="5" hidden="1">'Source Data'!$A$1:$K$22</definedName>
    <definedName name="Z_9A7EAFA5_9A37_43E4_8F3B_00DAF3A84C34_.wvu.PrintArea" localSheetId="6" hidden="1">'Specific Emissions'!$A$1:$W$12</definedName>
    <definedName name="Z_9A7EAFA5_9A37_43E4_8F3B_00DAF3A84C34_.wvu.PrintArea" localSheetId="4" hidden="1">'Volume Batching Model'!$A$1:$S$93</definedName>
    <definedName name="Z_9A7EAFA5_9A37_43E4_8F3B_00DAF3A84C34_.wvu.Rows" localSheetId="0" hidden="1">'Introduction'!$18:$65536</definedName>
    <definedName name="Z_9A7EAFA5_9A37_43E4_8F3B_00DAF3A84C34_.wvu.Rows" localSheetId="2" hidden="1">'Mass Batching Model'!$278:$65536,'Mass Batching Model'!$88:$276</definedName>
    <definedName name="Z_9A7EAFA5_9A37_43E4_8F3B_00DAF3A84C34_.wvu.Rows" localSheetId="5" hidden="1">'Source Data'!$39:$65536,'Source Data'!$23:$38</definedName>
    <definedName name="Z_9A7EAFA5_9A37_43E4_8F3B_00DAF3A84C34_.wvu.Rows" localSheetId="6" hidden="1">'Specific Emissions'!$67:$65496,'Specific Emissions'!$13:$66</definedName>
    <definedName name="Z_9A7EAFA5_9A37_43E4_8F3B_00DAF3A84C34_.wvu.Rows" localSheetId="4" hidden="1">'Volume Batching Model'!$270:$65536,'Volume Batching Model'!#REF!,'Volume Batching Model'!#REF!,'Volume Batching Model'!#REF!,'Volume Batching Model'!$76:$264</definedName>
    <definedName name="Z_D1D3DE35_1A2D_4738_936D_B99C1A57223A_.wvu.Cols" localSheetId="0" hidden="1">'Introduction'!$L:$IV</definedName>
    <definedName name="Z_D1D3DE35_1A2D_4738_936D_B99C1A57223A_.wvu.Cols" localSheetId="2" hidden="1">'Mass Batching Model'!$T:$IV</definedName>
    <definedName name="Z_D1D3DE35_1A2D_4738_936D_B99C1A57223A_.wvu.Cols" localSheetId="1" hidden="1">'Model Constraints'!$E:$IV</definedName>
    <definedName name="Z_D1D3DE35_1A2D_4738_936D_B99C1A57223A_.wvu.Cols" localSheetId="5" hidden="1">'Source Data'!$K:$IV</definedName>
    <definedName name="Z_D1D3DE35_1A2D_4738_936D_B99C1A57223A_.wvu.Cols" localSheetId="6" hidden="1">'Specific Emissions'!$L:$IP</definedName>
    <definedName name="Z_D1D3DE35_1A2D_4738_936D_B99C1A57223A_.wvu.Cols" localSheetId="4" hidden="1">'Volume Batching Model'!$T:$IV</definedName>
    <definedName name="Z_D1D3DE35_1A2D_4738_936D_B99C1A57223A_.wvu.Cols" localSheetId="3" hidden="1">'Volume Model Constraints'!$E:$IV</definedName>
    <definedName name="Z_D1D3DE35_1A2D_4738_936D_B99C1A57223A_.wvu.PrintArea" localSheetId="0" hidden="1">'Introduction'!$A$1:$J$16</definedName>
    <definedName name="Z_D1D3DE35_1A2D_4738_936D_B99C1A57223A_.wvu.PrintArea" localSheetId="2" hidden="1">'Mass Batching Model'!$A$1:$S$105</definedName>
    <definedName name="Z_D1D3DE35_1A2D_4738_936D_B99C1A57223A_.wvu.PrintArea" localSheetId="5" hidden="1">'Source Data'!$A$1:$K$22</definedName>
    <definedName name="Z_D1D3DE35_1A2D_4738_936D_B99C1A57223A_.wvu.PrintArea" localSheetId="6" hidden="1">'Specific Emissions'!$A$1:$W$12</definedName>
    <definedName name="Z_D1D3DE35_1A2D_4738_936D_B99C1A57223A_.wvu.PrintArea" localSheetId="4" hidden="1">'Volume Batching Model'!$A$1:$S$93</definedName>
    <definedName name="Z_D1D3DE35_1A2D_4738_936D_B99C1A57223A_.wvu.Rows" localSheetId="0" hidden="1">'Introduction'!$30:$65536,'Introduction'!$18:$23,'Introduction'!$25:$29</definedName>
    <definedName name="Z_D1D3DE35_1A2D_4738_936D_B99C1A57223A_.wvu.Rows" localSheetId="2" hidden="1">'Mass Batching Model'!$279:$65536,'Mass Batching Model'!$88:$278</definedName>
    <definedName name="Z_D1D3DE35_1A2D_4738_936D_B99C1A57223A_.wvu.Rows" localSheetId="1" hidden="1">'Model Constraints'!#REF!,'Model Constraints'!#REF!</definedName>
    <definedName name="Z_D1D3DE35_1A2D_4738_936D_B99C1A57223A_.wvu.Rows" localSheetId="5" hidden="1">'Source Data'!$39:$65536,'Source Data'!$23:$38</definedName>
    <definedName name="Z_D1D3DE35_1A2D_4738_936D_B99C1A57223A_.wvu.Rows" localSheetId="6" hidden="1">'Specific Emissions'!$69:$65496,'Specific Emissions'!$13:$68</definedName>
    <definedName name="Z_D1D3DE35_1A2D_4738_936D_B99C1A57223A_.wvu.Rows" localSheetId="4" hidden="1">'Volume Batching Model'!$280:$65536,'Volume Batching Model'!$76:$279</definedName>
    <definedName name="Z_D1D3DE35_1A2D_4738_936D_B99C1A57223A_.wvu.Rows" localSheetId="3" hidden="1">'Volume Model Constraints'!#REF!,'Volume Model Constraints'!#REF!</definedName>
  </definedNames>
  <calcPr fullCalcOnLoad="1" iterate="1" iterateCount="10000" iterateDelta="0.001"/>
</workbook>
</file>

<file path=xl/comments3.xml><?xml version="1.0" encoding="utf-8"?>
<comments xmlns="http://schemas.openxmlformats.org/spreadsheetml/2006/main">
  <authors>
    <author>User</author>
  </authors>
  <commentList>
    <comment ref="E26" authorId="0">
      <text>
        <r>
          <rPr>
            <b/>
            <sz val="9"/>
            <rFont val="Tahoma"/>
            <family val="2"/>
          </rPr>
          <t xml:space="preserve">InEnergy:
</t>
        </r>
        <r>
          <rPr>
            <sz val="9"/>
            <rFont val="Tahoma"/>
            <family val="2"/>
          </rPr>
          <t>Based on user inputted data</t>
        </r>
        <r>
          <rPr>
            <sz val="9"/>
            <rFont val="Tahoma"/>
            <family val="2"/>
          </rPr>
          <t xml:space="preserve">
</t>
        </r>
      </text>
    </comment>
    <comment ref="E49" authorId="0">
      <text>
        <r>
          <rPr>
            <b/>
            <sz val="9"/>
            <rFont val="Tahoma"/>
            <family val="2"/>
          </rPr>
          <t xml:space="preserve">InEnergy:
</t>
        </r>
        <r>
          <rPr>
            <sz val="9"/>
            <rFont val="Tahoma"/>
            <family val="2"/>
          </rPr>
          <t>Based on user inputted data</t>
        </r>
        <r>
          <rPr>
            <sz val="9"/>
            <rFont val="Tahoma"/>
            <family val="2"/>
          </rPr>
          <t xml:space="preserve">
</t>
        </r>
      </text>
    </comment>
    <comment ref="E72" authorId="0">
      <text>
        <r>
          <rPr>
            <b/>
            <sz val="9"/>
            <rFont val="Tahoma"/>
            <family val="2"/>
          </rPr>
          <t xml:space="preserve">InEnergy:
</t>
        </r>
        <r>
          <rPr>
            <sz val="9"/>
            <rFont val="Tahoma"/>
            <family val="2"/>
          </rPr>
          <t>Based on user inputted data</t>
        </r>
        <r>
          <rPr>
            <sz val="9"/>
            <rFont val="Tahoma"/>
            <family val="2"/>
          </rPr>
          <t xml:space="preserve">
</t>
        </r>
      </text>
    </comment>
  </commentList>
</comments>
</file>

<file path=xl/comments5.xml><?xml version="1.0" encoding="utf-8"?>
<comments xmlns="http://schemas.openxmlformats.org/spreadsheetml/2006/main">
  <authors>
    <author>User</author>
    <author>InEnergy: E. Volek</author>
  </authors>
  <commentList>
    <comment ref="E22" authorId="0">
      <text>
        <r>
          <rPr>
            <b/>
            <sz val="9"/>
            <rFont val="Tahoma"/>
            <family val="2"/>
          </rPr>
          <t xml:space="preserve">InEnergy:
</t>
        </r>
        <r>
          <rPr>
            <sz val="9"/>
            <rFont val="Tahoma"/>
            <family val="2"/>
          </rPr>
          <t xml:space="preserve">Based on user input data.
</t>
        </r>
      </text>
    </comment>
    <comment ref="G10" authorId="0">
      <text>
        <r>
          <rPr>
            <b/>
            <sz val="9"/>
            <rFont val="Tahoma"/>
            <family val="2"/>
          </rPr>
          <t>InEnergy:</t>
        </r>
        <r>
          <rPr>
            <sz val="9"/>
            <rFont val="Tahoma"/>
            <family val="2"/>
          </rPr>
          <t xml:space="preserve">
50 kg bag, 33l per bag</t>
        </r>
      </text>
    </comment>
    <comment ref="F17" authorId="0">
      <text>
        <r>
          <rPr>
            <b/>
            <sz val="9"/>
            <rFont val="Tahoma"/>
            <family val="2"/>
          </rPr>
          <t xml:space="preserve">InEnergy:
</t>
        </r>
        <r>
          <rPr>
            <sz val="9"/>
            <rFont val="Tahoma"/>
            <family val="2"/>
          </rPr>
          <t>Auto calculated; based on loose bulk density of components, assumed 33% voids.</t>
        </r>
      </text>
    </comment>
    <comment ref="G9" authorId="1">
      <text>
        <r>
          <rPr>
            <b/>
            <sz val="9"/>
            <rFont val="Tahoma"/>
            <family val="2"/>
          </rPr>
          <t>InEnergy: E. Volek:</t>
        </r>
        <r>
          <rPr>
            <sz val="9"/>
            <rFont val="Tahoma"/>
            <family val="2"/>
          </rPr>
          <t xml:space="preserve">
One wheelbarrow = 65l</t>
        </r>
      </text>
    </comment>
    <comment ref="F15" authorId="1">
      <text>
        <r>
          <rPr>
            <b/>
            <sz val="9"/>
            <rFont val="Tahoma"/>
            <family val="2"/>
          </rPr>
          <t>InEnergy: E. Volek:</t>
        </r>
        <r>
          <rPr>
            <sz val="9"/>
            <rFont val="Tahoma"/>
            <family val="2"/>
          </rPr>
          <t xml:space="preserve">
Autocalculated water addition:
Site mixed concrete, 210 l/m3
Site mixed plaster, 240 l/m3
Site mixed mortar,300 l/m3</t>
        </r>
      </text>
    </comment>
    <comment ref="G28" authorId="1">
      <text>
        <r>
          <rPr>
            <b/>
            <sz val="9"/>
            <rFont val="Tahoma"/>
            <family val="2"/>
          </rPr>
          <t>InEnergy: E. Volek:</t>
        </r>
        <r>
          <rPr>
            <sz val="9"/>
            <rFont val="Tahoma"/>
            <family val="2"/>
          </rPr>
          <t xml:space="preserve">
One wheelbarrow = 65l</t>
        </r>
      </text>
    </comment>
    <comment ref="G29" authorId="0">
      <text>
        <r>
          <rPr>
            <b/>
            <sz val="9"/>
            <rFont val="Tahoma"/>
            <family val="2"/>
          </rPr>
          <t>InEnergy:</t>
        </r>
        <r>
          <rPr>
            <sz val="9"/>
            <rFont val="Tahoma"/>
            <family val="2"/>
          </rPr>
          <t xml:space="preserve">
50 kg bag, 33l per bag</t>
        </r>
      </text>
    </comment>
    <comment ref="F34" authorId="1">
      <text>
        <r>
          <rPr>
            <b/>
            <sz val="9"/>
            <rFont val="Tahoma"/>
            <family val="2"/>
          </rPr>
          <t>InEnergy: E. Volek:</t>
        </r>
        <r>
          <rPr>
            <sz val="9"/>
            <rFont val="Tahoma"/>
            <family val="2"/>
          </rPr>
          <t xml:space="preserve">
Autocalculated water addition:
Site mixed concrete, 210 l/m3
Site mixed plaster, 240 l/m3
Site mixed mortar,300 l/m3</t>
        </r>
      </text>
    </comment>
    <comment ref="F36" authorId="0">
      <text>
        <r>
          <rPr>
            <b/>
            <sz val="9"/>
            <rFont val="Tahoma"/>
            <family val="2"/>
          </rPr>
          <t xml:space="preserve">InEnergy:
</t>
        </r>
        <r>
          <rPr>
            <sz val="9"/>
            <rFont val="Tahoma"/>
            <family val="2"/>
          </rPr>
          <t>Auto calculated; based on loose bulk density of components, assumed 33% voids.</t>
        </r>
      </text>
    </comment>
    <comment ref="E41" authorId="0">
      <text>
        <r>
          <rPr>
            <b/>
            <sz val="9"/>
            <rFont val="Tahoma"/>
            <family val="2"/>
          </rPr>
          <t xml:space="preserve">InEnergy:
</t>
        </r>
        <r>
          <rPr>
            <sz val="9"/>
            <rFont val="Tahoma"/>
            <family val="2"/>
          </rPr>
          <t xml:space="preserve">Based on user input data.
</t>
        </r>
      </text>
    </comment>
    <comment ref="G47" authorId="1">
      <text>
        <r>
          <rPr>
            <b/>
            <sz val="9"/>
            <rFont val="Tahoma"/>
            <family val="2"/>
          </rPr>
          <t>InEnergy: E. Volek:</t>
        </r>
        <r>
          <rPr>
            <sz val="9"/>
            <rFont val="Tahoma"/>
            <family val="2"/>
          </rPr>
          <t xml:space="preserve">
One wheelbarrow = 65l</t>
        </r>
      </text>
    </comment>
    <comment ref="G48" authorId="0">
      <text>
        <r>
          <rPr>
            <b/>
            <sz val="9"/>
            <rFont val="Tahoma"/>
            <family val="2"/>
          </rPr>
          <t>InEnergy:</t>
        </r>
        <r>
          <rPr>
            <sz val="9"/>
            <rFont val="Tahoma"/>
            <family val="2"/>
          </rPr>
          <t xml:space="preserve">
50 kg bag, 33l per bag</t>
        </r>
      </text>
    </comment>
    <comment ref="F53" authorId="1">
      <text>
        <r>
          <rPr>
            <b/>
            <sz val="9"/>
            <rFont val="Tahoma"/>
            <family val="2"/>
          </rPr>
          <t>InEnergy: E. Volek:</t>
        </r>
        <r>
          <rPr>
            <sz val="9"/>
            <rFont val="Tahoma"/>
            <family val="2"/>
          </rPr>
          <t xml:space="preserve">
Autocalculated water addition:
Site mixed concrete, 210 l/m3
Site mixed plaster, 240 l/m3
Site mixed mortar,300 l/m3</t>
        </r>
      </text>
    </comment>
    <comment ref="F55" authorId="0">
      <text>
        <r>
          <rPr>
            <b/>
            <sz val="9"/>
            <rFont val="Tahoma"/>
            <family val="2"/>
          </rPr>
          <t xml:space="preserve">InEnergy:
</t>
        </r>
        <r>
          <rPr>
            <sz val="9"/>
            <rFont val="Tahoma"/>
            <family val="2"/>
          </rPr>
          <t>Auto calculated; based on loose bulk density of components, assumed 33% voids.</t>
        </r>
      </text>
    </comment>
    <comment ref="E60" authorId="0">
      <text>
        <r>
          <rPr>
            <b/>
            <sz val="9"/>
            <rFont val="Tahoma"/>
            <family val="2"/>
          </rPr>
          <t xml:space="preserve">InEnergy:
</t>
        </r>
        <r>
          <rPr>
            <sz val="9"/>
            <rFont val="Tahoma"/>
            <family val="2"/>
          </rPr>
          <t xml:space="preserve">Based on user input data.
</t>
        </r>
      </text>
    </comment>
  </commentList>
</comments>
</file>

<file path=xl/comments7.xml><?xml version="1.0" encoding="utf-8"?>
<comments xmlns="http://schemas.openxmlformats.org/spreadsheetml/2006/main">
  <authors>
    <author>InEnergy: E. Volek</author>
  </authors>
  <commentList>
    <comment ref="B22" authorId="0">
      <text>
        <r>
          <rPr>
            <b/>
            <sz val="14"/>
            <rFont val="Tahoma"/>
            <family val="2"/>
          </rPr>
          <t>InEnergy: E. Volek:</t>
        </r>
        <r>
          <rPr>
            <sz val="14"/>
            <rFont val="Tahoma"/>
            <family val="2"/>
          </rPr>
          <t xml:space="preserve">
Ordinary Portland Cement</t>
        </r>
      </text>
    </comment>
    <comment ref="D22" authorId="0">
      <text>
        <r>
          <rPr>
            <b/>
            <sz val="14"/>
            <rFont val="Tahoma"/>
            <family val="2"/>
          </rPr>
          <t>InEnergy: E. Volek:</t>
        </r>
        <r>
          <rPr>
            <sz val="14"/>
            <rFont val="Tahoma"/>
            <family val="2"/>
          </rPr>
          <t xml:space="preserve">
Ground Granulated Blastfurnace Slag</t>
        </r>
      </text>
    </comment>
  </commentList>
</comments>
</file>

<file path=xl/sharedStrings.xml><?xml version="1.0" encoding="utf-8"?>
<sst xmlns="http://schemas.openxmlformats.org/spreadsheetml/2006/main" count="387" uniqueCount="143">
  <si>
    <t>Plant Information</t>
  </si>
  <si>
    <t>Aggregates</t>
  </si>
  <si>
    <t>Fly Ash</t>
  </si>
  <si>
    <t>Cement</t>
  </si>
  <si>
    <t>Admixtures</t>
  </si>
  <si>
    <t>Reinforcing</t>
  </si>
  <si>
    <t>Sector</t>
  </si>
  <si>
    <t>No of Respondents</t>
  </si>
  <si>
    <t>kg</t>
  </si>
  <si>
    <t>Water</t>
  </si>
  <si>
    <t>Services</t>
  </si>
  <si>
    <t>Mix 1</t>
  </si>
  <si>
    <t>Units</t>
  </si>
  <si>
    <t>Input</t>
  </si>
  <si>
    <t>Main Components of
Concrete Mix</t>
  </si>
  <si>
    <t>Scope 1</t>
  </si>
  <si>
    <t>Scope 2</t>
  </si>
  <si>
    <t>Scope 3</t>
  </si>
  <si>
    <t>CEM I</t>
  </si>
  <si>
    <t>CEM III A</t>
  </si>
  <si>
    <t>Mass
%</t>
  </si>
  <si>
    <t>Total</t>
  </si>
  <si>
    <t>Roof Tiles</t>
  </si>
  <si>
    <t>Precast Blocks</t>
  </si>
  <si>
    <t>Precast slabs</t>
  </si>
  <si>
    <t>1*</t>
  </si>
  <si>
    <t>In-situ concrete</t>
  </si>
  <si>
    <r>
      <t>m</t>
    </r>
    <r>
      <rPr>
        <vertAlign val="superscript"/>
        <sz val="11"/>
        <color indexed="8"/>
        <rFont val="Calibri"/>
        <family val="2"/>
      </rPr>
      <t>3</t>
    </r>
  </si>
  <si>
    <t>* Data Source</t>
  </si>
  <si>
    <t>Source Data</t>
  </si>
  <si>
    <t>l</t>
  </si>
  <si>
    <t>User defined 1</t>
  </si>
  <si>
    <t>User defined 2</t>
  </si>
  <si>
    <t>User defined 3</t>
  </si>
  <si>
    <t>User defined 4</t>
  </si>
  <si>
    <t>CEM II A-S</t>
  </si>
  <si>
    <t>CEM II B-S</t>
  </si>
  <si>
    <t>CEM II A-V</t>
  </si>
  <si>
    <t>CEM II B-V</t>
  </si>
  <si>
    <r>
      <t xml:space="preserve">Enter the concrete mix design in </t>
    </r>
    <r>
      <rPr>
        <b/>
        <sz val="11"/>
        <color indexed="8"/>
        <rFont val="Calibri"/>
        <family val="2"/>
      </rPr>
      <t>the specified units of raw material</t>
    </r>
    <r>
      <rPr>
        <sz val="11"/>
        <color indexed="8"/>
        <rFont val="Calibri"/>
        <family val="2"/>
      </rPr>
      <t xml:space="preserve"> into the cells in bright yellow</t>
    </r>
  </si>
  <si>
    <t>CEM IV A</t>
  </si>
  <si>
    <t>CEM V A</t>
  </si>
  <si>
    <t xml:space="preserve">       Ordinary Portland Cement</t>
  </si>
  <si>
    <t>CEM II A-L</t>
  </si>
  <si>
    <t>CEM II B-L</t>
  </si>
  <si>
    <t>** InEnergy</t>
  </si>
  <si>
    <t>Manual Blend</t>
  </si>
  <si>
    <t>Batch Blend</t>
  </si>
  <si>
    <t>Mixed Concrete</t>
  </si>
  <si>
    <t>m3 of concrete:</t>
  </si>
  <si>
    <t xml:space="preserve">Mix Density of </t>
  </si>
  <si>
    <t>m3 of concrete (kg)</t>
  </si>
  <si>
    <r>
      <t>Scope emissions
kg CO</t>
    </r>
    <r>
      <rPr>
        <b/>
        <vertAlign val="subscript"/>
        <sz val="11"/>
        <color indexed="8"/>
        <rFont val="Calibri"/>
        <family val="2"/>
      </rPr>
      <t>2</t>
    </r>
  </si>
  <si>
    <t>Limestone</t>
  </si>
  <si>
    <t>CEM IV B</t>
  </si>
  <si>
    <t>Pre-cast</t>
  </si>
  <si>
    <t>Mix 3</t>
  </si>
  <si>
    <t>Mix 2</t>
  </si>
  <si>
    <t>Site mixed concrete</t>
  </si>
  <si>
    <t>Site mixed plaster</t>
  </si>
  <si>
    <t>Litres</t>
  </si>
  <si>
    <t>Site mixed mortar</t>
  </si>
  <si>
    <t>Mix Mass
%</t>
  </si>
  <si>
    <r>
      <t>CO</t>
    </r>
    <r>
      <rPr>
        <b/>
        <vertAlign val="subscript"/>
        <sz val="11"/>
        <rFont val="Calibri"/>
        <family val="2"/>
      </rPr>
      <t xml:space="preserve">2 
</t>
    </r>
    <r>
      <rPr>
        <b/>
        <sz val="11"/>
        <rFont val="Calibri"/>
        <family val="2"/>
      </rPr>
      <t>kg</t>
    </r>
  </si>
  <si>
    <r>
      <t xml:space="preserve">Enter the concrete mix design in </t>
    </r>
    <r>
      <rPr>
        <b/>
        <sz val="11"/>
        <color indexed="8"/>
        <rFont val="Calibri"/>
        <family val="2"/>
      </rPr>
      <t>the specified units of mix components</t>
    </r>
    <r>
      <rPr>
        <sz val="11"/>
        <color indexed="8"/>
        <rFont val="Calibri"/>
        <family val="2"/>
      </rPr>
      <t xml:space="preserve"> into the cells in bright yellow</t>
    </r>
  </si>
  <si>
    <t>CEM V B</t>
  </si>
  <si>
    <t>User defined CEM I</t>
  </si>
  <si>
    <t>Wheelbarrow(s)</t>
  </si>
  <si>
    <t>50 kg Bag(s)</t>
  </si>
  <si>
    <t xml:space="preserve">       Fly Ash</t>
  </si>
  <si>
    <r>
      <t>CO</t>
    </r>
    <r>
      <rPr>
        <b/>
        <vertAlign val="subscript"/>
        <sz val="20"/>
        <color indexed="8"/>
        <rFont val="Calibri"/>
        <family val="2"/>
      </rPr>
      <t>2</t>
    </r>
    <r>
      <rPr>
        <b/>
        <sz val="20"/>
        <color indexed="8"/>
        <rFont val="Calibri"/>
        <family val="2"/>
      </rPr>
      <t xml:space="preserve">e Footprint of Concrete
</t>
    </r>
    <r>
      <rPr>
        <b/>
        <sz val="16"/>
        <color indexed="8"/>
        <rFont val="Calibri"/>
        <family val="2"/>
      </rPr>
      <t>Volume Batching</t>
    </r>
  </si>
  <si>
    <r>
      <t xml:space="preserve">CO2e Footprint of Concrete
</t>
    </r>
    <r>
      <rPr>
        <b/>
        <sz val="16"/>
        <color indexed="8"/>
        <rFont val="Calibri"/>
        <family val="2"/>
      </rPr>
      <t>Mass Batching</t>
    </r>
  </si>
  <si>
    <t>Scope 1 Direct</t>
  </si>
  <si>
    <t>Scope 2 Indirect</t>
  </si>
  <si>
    <t>Scope 3 Other Indirect</t>
  </si>
  <si>
    <r>
      <t>CO</t>
    </r>
    <r>
      <rPr>
        <b/>
        <vertAlign val="subscript"/>
        <sz val="11"/>
        <rFont val="Calibri"/>
        <family val="2"/>
      </rPr>
      <t>2</t>
    </r>
    <r>
      <rPr>
        <b/>
        <sz val="11"/>
        <rFont val="Calibri"/>
        <family val="2"/>
      </rPr>
      <t>e %</t>
    </r>
  </si>
  <si>
    <t>Notes to the user</t>
  </si>
  <si>
    <t>These notes act as a step by step guide for using the models listed on the following sheets.</t>
  </si>
  <si>
    <t>Determining the carbon footprint of a batch of concrete.</t>
  </si>
  <si>
    <t>3. The tables for the mix designs allow the user to enter the quantity of the various components as listed of each mix design.</t>
  </si>
  <si>
    <t>4. The user only needs to enter the mix design data in the yellow cells on the "Model" sheets.</t>
  </si>
  <si>
    <t>The report behind this model can be obtained from the Cement and Concrete Institute.</t>
  </si>
  <si>
    <t>1. There are two variants of the model. One for mass batching and the other for volume batching. Choose one of the variants.</t>
  </si>
  <si>
    <t>2. Each model variant has tables for three mix designs. The first table can be used for one user-specific mix design. To  compare a number of mix designs to each other the remainder of the tables can be used.</t>
  </si>
  <si>
    <t>6. The end-use type for the concrete mix design can also be user defined for a more accurate output.</t>
  </si>
  <si>
    <t>This model remains the intellectual property of InEnergy.
This document may not be reproduced in any part whatsoever without prior permission of the author.</t>
  </si>
  <si>
    <t>Please contact InEnergy for any clarification or further questions on the utilisation of this model: info@inenergy.co.za</t>
  </si>
  <si>
    <t>5.1 The user has the option to choose from a list of various cement types in a drop down menu.</t>
  </si>
  <si>
    <t>5.2 The user can also create a "User defined" cement type by entering specific emission data in the "Emission Factors" sheet.</t>
  </si>
  <si>
    <t>7. The emission outputs are noted in terms of scope 1, scope 2 and scope 3, as well as the total resulting emissions.</t>
  </si>
  <si>
    <t>1. The model is based on the WBCSD GHG emissions tool, strictly following the rules set out in the GHG protocol and IPCC guidelines.</t>
  </si>
  <si>
    <t>3. Emissions that are under the "Operational Control" of each site involved in supplying a material or service for concrete production have been included in the footprint.</t>
  </si>
  <si>
    <t xml:space="preserve">4. The system boundary includes the production processes of the components of concrete, and the services involved in mixing and supplying concrete. </t>
  </si>
  <si>
    <t xml:space="preserve">7. The specific emissions of each component are limited to the accuracy of the activity data from the source sites. </t>
  </si>
  <si>
    <t>8. While the activity data has been checked by InEnergy, the data only represents a sample of the data available in industry seeing as not all the members of the CnCI responded, and not all companies in the industry are members of the CnCI.</t>
  </si>
  <si>
    <t xml:space="preserve">9. The accuracy of the model is limited to the quality of the emission factors that are inputted. IPCC (Intergovernmental Panel for Climate Change) international default factors were used where local factors were unavailable. These factors were applied to the activity data that was collected from the various components of the concrete industry. </t>
  </si>
  <si>
    <t>11. The resulting emissions can be considered as representing the associated emissions that would result from the specific user input mix.</t>
  </si>
  <si>
    <r>
      <t>2. The boundary of the study takes all relevant scope one (</t>
    </r>
    <r>
      <rPr>
        <i/>
        <sz val="10"/>
        <color indexed="8"/>
        <rFont val="Calibri"/>
        <family val="2"/>
      </rPr>
      <t>direct</t>
    </r>
    <r>
      <rPr>
        <sz val="10"/>
        <color indexed="8"/>
        <rFont val="Calibri"/>
        <family val="2"/>
      </rPr>
      <t>), scope two (</t>
    </r>
    <r>
      <rPr>
        <i/>
        <sz val="10"/>
        <color indexed="8"/>
        <rFont val="Calibri"/>
        <family val="2"/>
      </rPr>
      <t>indirect</t>
    </r>
    <r>
      <rPr>
        <sz val="10"/>
        <color indexed="8"/>
        <rFont val="Calibri"/>
        <family val="2"/>
      </rPr>
      <t>) and scope three (</t>
    </r>
    <r>
      <rPr>
        <i/>
        <sz val="10"/>
        <color indexed="8"/>
        <rFont val="Calibri"/>
        <family val="2"/>
      </rPr>
      <t>other indirect</t>
    </r>
    <r>
      <rPr>
        <sz val="10"/>
        <color indexed="8"/>
        <rFont val="Calibri"/>
        <family val="2"/>
      </rPr>
      <t>) emissions into consideration.</t>
    </r>
  </si>
  <si>
    <r>
      <t xml:space="preserve">6. </t>
    </r>
    <r>
      <rPr>
        <sz val="10"/>
        <color indexed="8"/>
        <rFont val="Calibri"/>
        <family val="2"/>
      </rPr>
      <t>This model is based on year 2007 data gathered from 130 sites across South Africa, representing data for the listed components and services in concrete production. The data is not representative of any single company in the industry, but an average of the sampled data population.</t>
    </r>
  </si>
  <si>
    <r>
      <t>5. CO</t>
    </r>
    <r>
      <rPr>
        <vertAlign val="subscript"/>
        <sz val="10"/>
        <color indexed="8"/>
        <rFont val="Calibri"/>
        <family val="2"/>
      </rPr>
      <t>2</t>
    </r>
    <r>
      <rPr>
        <sz val="10"/>
        <color indexed="8"/>
        <rFont val="Calibri"/>
        <family val="2"/>
      </rPr>
      <t xml:space="preserve"> e emissions were determined by inferential techniques based on the following formula: 
       - Activity Data x Emission Factor = CO</t>
    </r>
    <r>
      <rPr>
        <vertAlign val="subscript"/>
        <sz val="10"/>
        <color indexed="8"/>
        <rFont val="Calibri"/>
        <family val="2"/>
      </rPr>
      <t>2</t>
    </r>
    <r>
      <rPr>
        <sz val="10"/>
        <color indexed="8"/>
        <rFont val="Calibri"/>
        <family val="2"/>
      </rPr>
      <t>e emission factor
            - “Activity data” are the source data used to in the model calculations to infer emissions.
            - “Emission factors” are the factors used together with “Activity” data to infer emissions.</t>
    </r>
  </si>
  <si>
    <r>
      <t>Actual CO</t>
    </r>
    <r>
      <rPr>
        <vertAlign val="subscript"/>
        <sz val="11"/>
        <color indexed="8"/>
        <rFont val="Calibri"/>
        <family val="2"/>
      </rPr>
      <t>2</t>
    </r>
    <r>
      <rPr>
        <sz val="11"/>
        <color indexed="8"/>
        <rFont val="Calibri"/>
        <family val="2"/>
      </rPr>
      <t>e emissions kg CO</t>
    </r>
    <r>
      <rPr>
        <vertAlign val="subscript"/>
        <sz val="11"/>
        <color indexed="8"/>
        <rFont val="Calibri"/>
        <family val="2"/>
      </rPr>
      <t>2</t>
    </r>
    <r>
      <rPr>
        <sz val="11"/>
        <color indexed="8"/>
        <rFont val="Calibri"/>
        <family val="2"/>
      </rPr>
      <t>e per</t>
    </r>
  </si>
  <si>
    <r>
      <t>Specific CO</t>
    </r>
    <r>
      <rPr>
        <vertAlign val="subscript"/>
        <sz val="11"/>
        <color indexed="8"/>
        <rFont val="Calibri"/>
        <family val="2"/>
      </rPr>
      <t>2</t>
    </r>
    <r>
      <rPr>
        <sz val="11"/>
        <color indexed="8"/>
        <rFont val="Calibri"/>
        <family val="2"/>
      </rPr>
      <t>e emissions kg CO</t>
    </r>
    <r>
      <rPr>
        <vertAlign val="subscript"/>
        <sz val="11"/>
        <color indexed="8"/>
        <rFont val="Calibri"/>
        <family val="2"/>
      </rPr>
      <t>2</t>
    </r>
    <r>
      <rPr>
        <sz val="11"/>
        <color indexed="8"/>
        <rFont val="Calibri"/>
        <family val="2"/>
      </rPr>
      <t>e / m</t>
    </r>
    <r>
      <rPr>
        <vertAlign val="superscript"/>
        <sz val="11"/>
        <color indexed="8"/>
        <rFont val="Calibri"/>
        <family val="2"/>
      </rPr>
      <t>3</t>
    </r>
  </si>
  <si>
    <t>0*</t>
  </si>
  <si>
    <t>0**</t>
  </si>
  <si>
    <t>Note: year 2007 has been used as a baseline.</t>
  </si>
  <si>
    <t>GGBS</t>
  </si>
  <si>
    <t xml:space="preserve">       GGBS</t>
  </si>
  <si>
    <t xml:space="preserve">       Limestone</t>
  </si>
  <si>
    <t>Reinforcing steel</t>
  </si>
  <si>
    <t>10.2 To determine the emissions using cement from one manufacturer, their specific scope one, scope two and scope three emissions would have to be obtained for a specific cement type and entered by the user as a "User Defined" cement type.</t>
  </si>
  <si>
    <t>The general constraints of this model and its results are as follows:</t>
  </si>
  <si>
    <t>General Model Constraints</t>
  </si>
  <si>
    <t>Volume Model Constraints</t>
  </si>
  <si>
    <t>1. One wheelbarrow=65l.</t>
  </si>
  <si>
    <t>In addition to the general constraints already listed, specific constraints of the volume batching model variant and its results are as follows:</t>
  </si>
  <si>
    <t>2. In the model the term "Aggregates" includes both sand and stone.</t>
  </si>
  <si>
    <t>3. One bag of cement is 50kg and has a volume of 33l.</t>
  </si>
  <si>
    <r>
      <t>4. The loose bulk density of aggregates is taken as 1400kg/m</t>
    </r>
    <r>
      <rPr>
        <vertAlign val="superscript"/>
        <sz val="10"/>
        <color indexed="8"/>
        <rFont val="Calibri"/>
        <family val="2"/>
      </rPr>
      <t>3</t>
    </r>
  </si>
  <si>
    <t>5. Water addition is predefined depending on the type of mix selected:    
         Site mixed concrete, 210 l/m3;       
         Site mixed plaster, 240 l/m3;       
         Site mixed mortar,300 l/m3</t>
  </si>
  <si>
    <t>6. The mix volume is auto calculated; based on the loose bulk density of the components. A void percentage of 33% has been assumed.</t>
  </si>
  <si>
    <t>MIX ID:</t>
  </si>
  <si>
    <t>Example 1</t>
  </si>
  <si>
    <t>Example 2</t>
  </si>
  <si>
    <t>Example 3</t>
  </si>
  <si>
    <t>In-Situ Concrete</t>
  </si>
  <si>
    <t>Pre-cast Slabs</t>
  </si>
  <si>
    <t>CEMI</t>
  </si>
  <si>
    <t>Reinforcing Steel</t>
  </si>
  <si>
    <t>Materials</t>
  </si>
  <si>
    <t>Decomposed Granite Sand, No Admix, 30 Mpa</t>
  </si>
  <si>
    <t>Decomposed Granite Sand, Admix, 30 Mpa</t>
  </si>
  <si>
    <r>
      <t>kg CO</t>
    </r>
    <r>
      <rPr>
        <vertAlign val="subscript"/>
        <sz val="10"/>
        <color indexed="8"/>
        <rFont val="Calibri"/>
        <family val="2"/>
      </rPr>
      <t>2</t>
    </r>
    <r>
      <rPr>
        <sz val="10"/>
        <color indexed="8"/>
        <rFont val="Calibri"/>
        <family val="2"/>
      </rPr>
      <t>/
ton</t>
    </r>
  </si>
  <si>
    <t>Specific Emissions</t>
  </si>
  <si>
    <t>Service</t>
  </si>
  <si>
    <r>
      <t>kg CO</t>
    </r>
    <r>
      <rPr>
        <vertAlign val="subscript"/>
        <sz val="10"/>
        <rFont val="Calibri"/>
        <family val="2"/>
      </rPr>
      <t>2</t>
    </r>
    <r>
      <rPr>
        <sz val="10"/>
        <rFont val="Calibri"/>
        <family val="2"/>
      </rPr>
      <t>/
m</t>
    </r>
    <r>
      <rPr>
        <vertAlign val="superscript"/>
        <sz val="10"/>
        <rFont val="Calibri"/>
        <family val="2"/>
      </rPr>
      <t>3</t>
    </r>
  </si>
  <si>
    <t>OPC</t>
  </si>
  <si>
    <t>Composition</t>
  </si>
  <si>
    <t>Cement Type</t>
  </si>
  <si>
    <t>Component Specific Emissions - 2007</t>
  </si>
  <si>
    <t>Cement Specific Emissions - 2007</t>
  </si>
  <si>
    <t xml:space="preserve">10.1 The compositions of the cement types (i.e. CEM II, CEM III etc.) used in the model are pre-defined. The resultant emissions for a specific cement type have been summed from the individual blend components. Not all cement manufacturers produce all the products and so as not to disclose sensitive blend information of any individual cement producer, the compositions of cement types CEM II,… in the model were fixed by the CNCI.  If these averages are compared to individual company emissions, variations will occur. </t>
  </si>
  <si>
    <r>
      <t>CO</t>
    </r>
    <r>
      <rPr>
        <b/>
        <vertAlign val="subscript"/>
        <sz val="11"/>
        <rFont val="Calibri"/>
        <family val="2"/>
      </rPr>
      <t>2</t>
    </r>
    <r>
      <rPr>
        <b/>
        <sz val="11"/>
        <rFont val="Calibri"/>
        <family val="2"/>
      </rPr>
      <t>e 
%</t>
    </r>
  </si>
  <si>
    <r>
      <t>CO</t>
    </r>
    <r>
      <rPr>
        <b/>
        <vertAlign val="subscript"/>
        <sz val="11"/>
        <rFont val="Calibri"/>
        <family val="2"/>
      </rPr>
      <t>2</t>
    </r>
    <r>
      <rPr>
        <b/>
        <sz val="11"/>
        <rFont val="Calibri"/>
        <family val="2"/>
      </rPr>
      <t>e</t>
    </r>
    <r>
      <rPr>
        <b/>
        <vertAlign val="subscript"/>
        <sz val="11"/>
        <rFont val="Calibri"/>
        <family val="2"/>
      </rPr>
      <t xml:space="preserve">
</t>
    </r>
    <r>
      <rPr>
        <b/>
        <sz val="11"/>
        <rFont val="Calibri"/>
        <family val="2"/>
      </rPr>
      <t>kg</t>
    </r>
  </si>
</sst>
</file>

<file path=xl/styles.xml><?xml version="1.0" encoding="utf-8"?>
<styleSheet xmlns="http://schemas.openxmlformats.org/spreadsheetml/2006/main">
  <numFmts count="20">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0.0"/>
    <numFmt numFmtId="173" formatCode="#,##0.0"/>
    <numFmt numFmtId="174" formatCode="0.000"/>
    <numFmt numFmtId="175" formatCode="0.0%"/>
  </numFmts>
  <fonts count="73">
    <font>
      <sz val="10"/>
      <name val="Arial"/>
      <family val="0"/>
    </font>
    <font>
      <sz val="11"/>
      <color indexed="8"/>
      <name val="Calibri"/>
      <family val="2"/>
    </font>
    <font>
      <sz val="8"/>
      <name val="Arial"/>
      <family val="2"/>
    </font>
    <font>
      <b/>
      <sz val="11"/>
      <color indexed="8"/>
      <name val="Calibri"/>
      <family val="2"/>
    </font>
    <font>
      <b/>
      <sz val="20"/>
      <color indexed="8"/>
      <name val="Calibri"/>
      <family val="2"/>
    </font>
    <font>
      <b/>
      <sz val="11"/>
      <name val="Calibri"/>
      <family val="2"/>
    </font>
    <font>
      <sz val="10"/>
      <name val="Calibri"/>
      <family val="2"/>
    </font>
    <font>
      <b/>
      <vertAlign val="subscript"/>
      <sz val="20"/>
      <color indexed="8"/>
      <name val="Calibri"/>
      <family val="2"/>
    </font>
    <font>
      <b/>
      <vertAlign val="subscript"/>
      <sz val="11"/>
      <color indexed="8"/>
      <name val="Calibri"/>
      <family val="2"/>
    </font>
    <font>
      <b/>
      <vertAlign val="subscript"/>
      <sz val="11"/>
      <name val="Calibri"/>
      <family val="2"/>
    </font>
    <font>
      <vertAlign val="superscript"/>
      <sz val="11"/>
      <color indexed="8"/>
      <name val="Calibri"/>
      <family val="2"/>
    </font>
    <font>
      <vertAlign val="subscript"/>
      <sz val="11"/>
      <color indexed="8"/>
      <name val="Calibri"/>
      <family val="2"/>
    </font>
    <font>
      <sz val="11"/>
      <color indexed="10"/>
      <name val="Calibri"/>
      <family val="2"/>
    </font>
    <font>
      <sz val="9"/>
      <color indexed="23"/>
      <name val="Calibri"/>
      <family val="2"/>
    </font>
    <font>
      <sz val="11"/>
      <color indexed="9"/>
      <name val="Calibri"/>
      <family val="2"/>
    </font>
    <font>
      <sz val="9"/>
      <name val="Tahoma"/>
      <family val="2"/>
    </font>
    <font>
      <b/>
      <sz val="9"/>
      <name val="Tahoma"/>
      <family val="2"/>
    </font>
    <font>
      <b/>
      <sz val="16"/>
      <color indexed="8"/>
      <name val="Calibri"/>
      <family val="2"/>
    </font>
    <font>
      <sz val="10"/>
      <color indexed="8"/>
      <name val="Calibri"/>
      <family val="2"/>
    </font>
    <font>
      <vertAlign val="subscript"/>
      <sz val="10"/>
      <color indexed="8"/>
      <name val="Calibri"/>
      <family val="2"/>
    </font>
    <font>
      <vertAlign val="superscript"/>
      <sz val="10"/>
      <color indexed="8"/>
      <name val="Calibri"/>
      <family val="2"/>
    </font>
    <font>
      <b/>
      <sz val="10"/>
      <color indexed="8"/>
      <name val="Calibri"/>
      <family val="2"/>
    </font>
    <font>
      <b/>
      <sz val="10"/>
      <name val="Calibri"/>
      <family val="2"/>
    </font>
    <font>
      <b/>
      <sz val="18"/>
      <color indexed="8"/>
      <name val="Calibri"/>
      <family val="2"/>
    </font>
    <font>
      <b/>
      <sz val="18"/>
      <name val="Calibri"/>
      <family val="2"/>
    </font>
    <font>
      <i/>
      <sz val="10"/>
      <color indexed="8"/>
      <name val="Calibri"/>
      <family val="2"/>
    </font>
    <font>
      <vertAlign val="superscript"/>
      <sz val="10"/>
      <name val="Calibri"/>
      <family val="2"/>
    </font>
    <font>
      <vertAlign val="subscript"/>
      <sz val="10"/>
      <name val="Calibri"/>
      <family val="2"/>
    </font>
    <font>
      <b/>
      <sz val="14"/>
      <name val="Tahoma"/>
      <family val="2"/>
    </font>
    <font>
      <sz val="14"/>
      <name val="Tahoma"/>
      <family val="2"/>
    </font>
    <font>
      <sz val="10"/>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vertAlign val="subscript"/>
      <sz val="18"/>
      <color indexed="8"/>
      <name val="Calibri"/>
      <family val="0"/>
    </font>
    <font>
      <sz val="11"/>
      <name val="Calibri"/>
      <family val="0"/>
    </font>
    <font>
      <sz val="12"/>
      <color indexed="8"/>
      <name val="Calibri"/>
      <family val="0"/>
    </font>
    <font>
      <sz val="16"/>
      <color indexed="8"/>
      <name val="Calibri"/>
      <family val="0"/>
    </font>
    <font>
      <sz val="14"/>
      <color indexed="8"/>
      <name val="Calibri"/>
      <family val="0"/>
    </font>
    <font>
      <b/>
      <vertAlign val="subscript"/>
      <sz val="16"/>
      <color indexed="8"/>
      <name val="Calibri"/>
      <family val="0"/>
    </font>
    <font>
      <b/>
      <vertAlign val="superscript"/>
      <sz val="16"/>
      <color indexed="8"/>
      <name val="Calibri"/>
      <family val="0"/>
    </font>
    <font>
      <sz val="16.9"/>
      <color indexed="8"/>
      <name val="Calibri"/>
      <family val="0"/>
    </font>
    <font>
      <sz val="11.8"/>
      <color indexed="8"/>
      <name val="Calibri"/>
      <family val="0"/>
    </font>
    <font>
      <sz val="9.2"/>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Calibri"/>
      <family val="2"/>
    </font>
    <font>
      <b/>
      <sz val="8"/>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indexed="15"/>
        <bgColor indexed="64"/>
      </patternFill>
    </fill>
    <fill>
      <patternFill patternType="solid">
        <fgColor indexed="53"/>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11"/>
        <bgColor indexed="64"/>
      </patternFill>
    </fill>
    <fill>
      <patternFill patternType="solid">
        <fgColor indexed="11"/>
        <bgColor indexed="64"/>
      </patternFill>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indexed="42"/>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style="medium"/>
      <right/>
      <top style="thin"/>
      <bottom style="thin"/>
    </border>
    <border>
      <left style="medium">
        <color indexed="8"/>
      </left>
      <right/>
      <top style="medium">
        <color indexed="8"/>
      </top>
      <bottom/>
    </border>
    <border>
      <left style="medium"/>
      <right/>
      <top style="medium"/>
      <bottom/>
    </border>
    <border>
      <left/>
      <right/>
      <top style="medium"/>
      <bottom style="medium"/>
    </border>
    <border>
      <left style="medium"/>
      <right/>
      <top style="thin"/>
      <bottom/>
    </border>
    <border>
      <left/>
      <right/>
      <top style="thin"/>
      <bottom style="thin"/>
    </border>
    <border>
      <left style="medium"/>
      <right/>
      <top/>
      <bottom style="thin"/>
    </border>
    <border>
      <left style="medium"/>
      <right/>
      <top style="medium"/>
      <bottom style="thin"/>
    </border>
    <border>
      <left style="medium"/>
      <right/>
      <top/>
      <bottom style="medium"/>
    </border>
    <border>
      <left style="medium"/>
      <right style="medium"/>
      <top style="medium"/>
      <bottom style="thin">
        <color indexed="8"/>
      </bottom>
    </border>
    <border>
      <left style="medium"/>
      <right style="medium"/>
      <top style="thin">
        <color indexed="8"/>
      </top>
      <bottom style="thin"/>
    </border>
    <border>
      <left style="medium"/>
      <right style="medium"/>
      <top/>
      <bottom/>
    </border>
    <border>
      <left style="medium"/>
      <right style="medium"/>
      <top style="thin"/>
      <bottom style="thin"/>
    </border>
    <border>
      <left style="medium"/>
      <right style="medium"/>
      <top/>
      <bottom style="medium"/>
    </border>
    <border>
      <left/>
      <right/>
      <top/>
      <bottom style="thin"/>
    </border>
    <border>
      <left/>
      <right/>
      <top style="thin"/>
      <bottom/>
    </border>
    <border>
      <left style="medium"/>
      <right style="medium"/>
      <top style="medium"/>
      <bottom style="medium"/>
    </border>
    <border>
      <left/>
      <right/>
      <top/>
      <bottom style="medium"/>
    </border>
    <border>
      <left/>
      <right style="medium"/>
      <top style="medium"/>
      <bottom style="medium"/>
    </border>
    <border>
      <left style="thin"/>
      <right/>
      <top style="medium"/>
      <bottom style="thin"/>
    </border>
    <border>
      <left style="thin"/>
      <right style="medium"/>
      <top style="medium"/>
      <bottom style="thin"/>
    </border>
    <border>
      <left style="thin"/>
      <right/>
      <top style="thin"/>
      <bottom style="thin"/>
    </border>
    <border>
      <left style="thin"/>
      <right style="medium"/>
      <top style="thin"/>
      <bottom style="thin"/>
    </border>
    <border>
      <left style="medium"/>
      <right/>
      <top style="thin"/>
      <bottom style="medium"/>
    </border>
    <border>
      <left style="thin"/>
      <right/>
      <top style="thin"/>
      <bottom style="medium"/>
    </border>
    <border>
      <left style="thin"/>
      <right style="medium"/>
      <top style="thin"/>
      <bottom style="medium"/>
    </border>
    <border>
      <left style="thin"/>
      <right/>
      <top/>
      <bottom style="medium"/>
    </border>
    <border>
      <left style="thin"/>
      <right style="medium"/>
      <top/>
      <bottom style="medium"/>
    </border>
    <border>
      <left style="thin"/>
      <right/>
      <top style="medium"/>
      <bottom style="medium"/>
    </border>
    <border>
      <left style="thin"/>
      <right style="medium"/>
      <top style="medium"/>
      <bottom style="medium"/>
    </border>
    <border>
      <left style="thin"/>
      <right style="thin"/>
      <top style="medium"/>
      <bottom style="medium"/>
    </border>
    <border>
      <left style="thin"/>
      <right style="thin"/>
      <top style="thin"/>
      <bottom style="thin"/>
    </border>
    <border>
      <left style="medium">
        <color indexed="8"/>
      </left>
      <right style="medium"/>
      <top style="medium"/>
      <bottom/>
    </border>
    <border>
      <left style="medium"/>
      <right style="medium"/>
      <top style="medium"/>
      <bottom style="thin"/>
    </border>
    <border>
      <left/>
      <right/>
      <top style="medium"/>
      <bottom style="thin"/>
    </border>
    <border>
      <left style="medium"/>
      <right style="medium"/>
      <top style="thin">
        <color indexed="8"/>
      </top>
      <bottom style="thin">
        <color indexed="8"/>
      </bottom>
    </border>
    <border>
      <left style="medium"/>
      <right style="medium"/>
      <top style="thin">
        <color indexed="8"/>
      </top>
      <bottom/>
    </border>
    <border>
      <left/>
      <right style="medium"/>
      <top style="thin"/>
      <bottom style="medium"/>
    </border>
    <border>
      <left style="medium"/>
      <right style="medium"/>
      <top style="thin"/>
      <bottom/>
    </border>
    <border>
      <left style="medium"/>
      <right style="medium"/>
      <top style="thin"/>
      <bottom style="medium"/>
    </border>
    <border>
      <left/>
      <right/>
      <top style="medium"/>
      <bottom/>
    </border>
    <border>
      <left style="medium"/>
      <right/>
      <top style="medium"/>
      <bottom style="thin">
        <color indexed="8"/>
      </bottom>
    </border>
    <border>
      <left style="medium"/>
      <right/>
      <top style="thin">
        <color indexed="8"/>
      </top>
      <bottom style="thin">
        <color indexed="8"/>
      </bottom>
    </border>
    <border>
      <left style="medium"/>
      <right/>
      <top style="thin">
        <color indexed="8"/>
      </top>
      <bottom/>
    </border>
    <border>
      <left/>
      <right style="medium"/>
      <top/>
      <bottom/>
    </border>
    <border>
      <left style="medium"/>
      <right/>
      <top/>
      <bottom/>
    </border>
    <border>
      <left/>
      <right style="medium"/>
      <top style="medium"/>
      <bottom style="thin"/>
    </border>
    <border>
      <left/>
      <right style="medium"/>
      <top style="thin"/>
      <bottom style="thin"/>
    </border>
    <border>
      <left/>
      <right style="medium"/>
      <top style="thin"/>
      <bottom/>
    </border>
    <border>
      <left style="thin"/>
      <right style="thin"/>
      <top style="medium"/>
      <bottom style="thin"/>
    </border>
    <border>
      <left style="thin"/>
      <right style="thin"/>
      <top style="thin"/>
      <bottom/>
    </border>
    <border>
      <left style="thin"/>
      <right style="medium"/>
      <top style="medium"/>
      <bottom/>
    </border>
    <border>
      <left style="thin"/>
      <right style="medium"/>
      <top style="thin"/>
      <bottom/>
    </border>
    <border>
      <left/>
      <right style="medium"/>
      <top style="medium"/>
      <bottom/>
    </border>
    <border>
      <left/>
      <right style="medium"/>
      <top/>
      <bottom style="medium"/>
    </border>
    <border>
      <left style="thin"/>
      <right style="thin"/>
      <top/>
      <bottom style="thin"/>
    </border>
    <border>
      <left style="thin"/>
      <right style="medium"/>
      <top/>
      <bottom style="thin"/>
    </border>
    <border>
      <left style="medium"/>
      <right style="medium"/>
      <top/>
      <bottom style="thin"/>
    </border>
    <border>
      <left/>
      <right/>
      <top style="thin"/>
      <bottom style="medium"/>
    </border>
    <border>
      <left/>
      <right style="medium"/>
      <top style="medium"/>
      <bottom style="thin">
        <color indexed="8"/>
      </bottom>
    </border>
    <border>
      <left/>
      <right style="medium"/>
      <top style="thin">
        <color indexed="8"/>
      </top>
      <bottom style="thin">
        <color indexed="8"/>
      </bottom>
    </border>
    <border>
      <left/>
      <right style="medium"/>
      <top style="thin">
        <color indexed="8"/>
      </top>
      <bottom/>
    </border>
    <border>
      <left style="thin"/>
      <right style="thin"/>
      <top style="medium"/>
      <bottom style="thin">
        <color indexed="8"/>
      </bottom>
    </border>
    <border>
      <left style="thin"/>
      <right style="thin"/>
      <top style="thin">
        <color indexed="8"/>
      </top>
      <bottom style="thin">
        <color indexed="8"/>
      </bottom>
    </border>
    <border>
      <left style="thin"/>
      <right style="thin"/>
      <top style="thin">
        <color indexed="8"/>
      </top>
      <bottom/>
    </border>
    <border>
      <left style="thin"/>
      <right style="thin"/>
      <top style="thin"/>
      <bottom style="medium"/>
    </border>
    <border>
      <left style="thin"/>
      <right style="thin"/>
      <top/>
      <bottom style="medium"/>
    </border>
    <border>
      <left style="thin"/>
      <right style="thin"/>
      <top/>
      <bottom/>
    </border>
    <border>
      <left style="medium"/>
      <right style="medium"/>
      <top style="thin">
        <color indexed="8"/>
      </top>
      <bottom style="medium"/>
    </border>
    <border>
      <left style="medium"/>
      <right/>
      <top style="thin">
        <color indexed="8"/>
      </top>
      <bottom style="medium"/>
    </border>
    <border>
      <left style="thin"/>
      <right style="thin"/>
      <top style="thin">
        <color indexed="8"/>
      </top>
      <bottom style="medium"/>
    </border>
    <border>
      <left/>
      <right style="medium"/>
      <top style="thin">
        <color indexed="8"/>
      </top>
      <bottom style="medium"/>
    </border>
    <border>
      <left/>
      <right style="medium"/>
      <top/>
      <bottom style="thin"/>
    </border>
    <border>
      <left/>
      <right style="thin"/>
      <top style="thin"/>
      <bottom style="thin"/>
    </border>
    <border>
      <left style="medium"/>
      <right style="medium"/>
      <top style="medium"/>
      <bottom/>
    </border>
    <border>
      <left style="medium"/>
      <right style="thin"/>
      <top style="medium"/>
      <bottom style="medium"/>
    </border>
    <border>
      <left style="medium"/>
      <right style="thin"/>
      <top/>
      <bottom style="medium"/>
    </border>
    <border>
      <left style="medium"/>
      <right style="thin"/>
      <top style="thin"/>
      <bottom style="thin"/>
    </border>
    <border>
      <left style="medium"/>
      <right style="thin"/>
      <top style="medium"/>
      <bottom/>
    </border>
    <border>
      <left style="medium"/>
      <right style="thin"/>
      <top style="medium"/>
      <bottom style="thin"/>
    </border>
    <border>
      <left style="thin"/>
      <right style="thin"/>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533">
    <xf numFmtId="0" fontId="0" fillId="0" borderId="0" xfId="0" applyAlignment="1">
      <alignment/>
    </xf>
    <xf numFmtId="0" fontId="4" fillId="33" borderId="0" xfId="0" applyFont="1" applyFill="1" applyBorder="1" applyAlignment="1" applyProtection="1">
      <alignment vertical="center"/>
      <protection hidden="1"/>
    </xf>
    <xf numFmtId="0" fontId="6" fillId="34" borderId="0" xfId="0" applyFont="1" applyFill="1" applyAlignment="1" applyProtection="1">
      <alignment/>
      <protection/>
    </xf>
    <xf numFmtId="0" fontId="6" fillId="34" borderId="0" xfId="0" applyFont="1" applyFill="1" applyBorder="1" applyAlignment="1" applyProtection="1">
      <alignment/>
      <protection/>
    </xf>
    <xf numFmtId="0" fontId="1" fillId="33" borderId="0" xfId="0" applyFont="1" applyFill="1" applyBorder="1" applyAlignment="1" applyProtection="1">
      <alignment vertical="center"/>
      <protection hidden="1"/>
    </xf>
    <xf numFmtId="0" fontId="1" fillId="33" borderId="0" xfId="0" applyFont="1" applyFill="1" applyAlignment="1" applyProtection="1">
      <alignment vertical="center"/>
      <protection hidden="1"/>
    </xf>
    <xf numFmtId="0" fontId="1" fillId="33" borderId="0" xfId="0" applyFont="1" applyFill="1" applyBorder="1" applyAlignment="1" applyProtection="1">
      <alignment horizontal="center" vertical="center"/>
      <protection hidden="1"/>
    </xf>
    <xf numFmtId="0" fontId="5" fillId="33" borderId="0" xfId="0" applyFont="1" applyFill="1" applyBorder="1" applyAlignment="1" applyProtection="1">
      <alignment vertical="center"/>
      <protection hidden="1"/>
    </xf>
    <xf numFmtId="172" fontId="1" fillId="33" borderId="0" xfId="0" applyNumberFormat="1" applyFont="1" applyFill="1" applyBorder="1" applyAlignment="1" applyProtection="1">
      <alignment vertical="center"/>
      <protection hidden="1"/>
    </xf>
    <xf numFmtId="0" fontId="5" fillId="33" borderId="0" xfId="0" applyFont="1" applyFill="1" applyBorder="1" applyAlignment="1" applyProtection="1">
      <alignment horizontal="right"/>
      <protection hidden="1"/>
    </xf>
    <xf numFmtId="0" fontId="5" fillId="33" borderId="10" xfId="0" applyFont="1" applyFill="1" applyBorder="1" applyAlignment="1" applyProtection="1">
      <alignment horizontal="center" vertical="center"/>
      <protection hidden="1"/>
    </xf>
    <xf numFmtId="0" fontId="1" fillId="33" borderId="11" xfId="0" applyFont="1" applyFill="1" applyBorder="1" applyAlignment="1" applyProtection="1">
      <alignment horizontal="center" vertical="center"/>
      <protection hidden="1"/>
    </xf>
    <xf numFmtId="0" fontId="6" fillId="0" borderId="0" xfId="0" applyFont="1" applyAlignment="1" applyProtection="1">
      <alignment/>
      <protection/>
    </xf>
    <xf numFmtId="0" fontId="5"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vertical="center"/>
      <protection/>
    </xf>
    <xf numFmtId="0" fontId="3" fillId="33" borderId="0" xfId="0" applyFont="1" applyFill="1" applyAlignment="1" applyProtection="1">
      <alignment vertical="center"/>
      <protection/>
    </xf>
    <xf numFmtId="0" fontId="1" fillId="33" borderId="0" xfId="0" applyFont="1" applyFill="1" applyAlignment="1" applyProtection="1">
      <alignment vertical="center"/>
      <protection/>
    </xf>
    <xf numFmtId="0" fontId="4" fillId="33" borderId="14" xfId="0" applyFont="1" applyFill="1" applyBorder="1" applyAlignment="1" applyProtection="1">
      <alignment vertical="center"/>
      <protection hidden="1"/>
    </xf>
    <xf numFmtId="0" fontId="1" fillId="33" borderId="0" xfId="0" applyFont="1" applyFill="1" applyBorder="1" applyAlignment="1" applyProtection="1">
      <alignment wrapText="1"/>
      <protection hidden="1"/>
    </xf>
    <xf numFmtId="0" fontId="1" fillId="33" borderId="14" xfId="0" applyFont="1" applyFill="1" applyBorder="1" applyAlignment="1" applyProtection="1">
      <alignment wrapText="1"/>
      <protection hidden="1"/>
    </xf>
    <xf numFmtId="172" fontId="1" fillId="35" borderId="15" xfId="0" applyNumberFormat="1" applyFont="1" applyFill="1" applyBorder="1" applyAlignment="1" applyProtection="1">
      <alignment horizontal="right" vertical="center"/>
      <protection hidden="1"/>
    </xf>
    <xf numFmtId="0" fontId="13" fillId="33" borderId="11" xfId="0" applyFont="1" applyFill="1" applyBorder="1" applyAlignment="1" applyProtection="1" quotePrefix="1">
      <alignment horizontal="center" vertical="center"/>
      <protection hidden="1"/>
    </xf>
    <xf numFmtId="172" fontId="13" fillId="33" borderId="16" xfId="0" applyNumberFormat="1" applyFont="1" applyFill="1" applyBorder="1" applyAlignment="1" applyProtection="1">
      <alignment horizontal="right" vertical="center"/>
      <protection hidden="1"/>
    </xf>
    <xf numFmtId="0" fontId="13" fillId="33" borderId="0" xfId="0" applyFont="1" applyFill="1" applyBorder="1" applyAlignment="1" applyProtection="1">
      <alignment vertical="center"/>
      <protection hidden="1"/>
    </xf>
    <xf numFmtId="172" fontId="13" fillId="33" borderId="11" xfId="0" applyNumberFormat="1" applyFont="1" applyFill="1" applyBorder="1" applyAlignment="1" applyProtection="1">
      <alignment horizontal="right" vertical="center"/>
      <protection hidden="1"/>
    </xf>
    <xf numFmtId="172" fontId="13" fillId="33" borderId="17" xfId="0" applyNumberFormat="1" applyFont="1" applyFill="1" applyBorder="1" applyAlignment="1" applyProtection="1">
      <alignment horizontal="right" vertical="center"/>
      <protection hidden="1"/>
    </xf>
    <xf numFmtId="0" fontId="1" fillId="33" borderId="0" xfId="0" applyFont="1" applyFill="1" applyBorder="1" applyAlignment="1" applyProtection="1">
      <alignment vertical="center"/>
      <protection hidden="1"/>
    </xf>
    <xf numFmtId="0" fontId="1" fillId="33" borderId="0" xfId="0" applyFont="1" applyFill="1" applyBorder="1" applyAlignment="1" applyProtection="1">
      <alignment horizontal="center" vertical="center"/>
      <protection hidden="1"/>
    </xf>
    <xf numFmtId="0" fontId="1" fillId="33" borderId="0" xfId="0" applyFont="1" applyFill="1" applyAlignment="1" applyProtection="1">
      <alignment vertical="center"/>
      <protection hidden="1"/>
    </xf>
    <xf numFmtId="0" fontId="1" fillId="33" borderId="0" xfId="0" applyFont="1" applyFill="1" applyBorder="1" applyAlignment="1" applyProtection="1">
      <alignment horizontal="right" vertical="center"/>
      <protection hidden="1"/>
    </xf>
    <xf numFmtId="172" fontId="1" fillId="33" borderId="0" xfId="0" applyNumberFormat="1" applyFont="1" applyFill="1" applyBorder="1" applyAlignment="1" applyProtection="1">
      <alignment horizontal="right" vertical="center"/>
      <protection hidden="1"/>
    </xf>
    <xf numFmtId="0" fontId="3" fillId="33" borderId="0" xfId="0" applyFont="1" applyFill="1" applyBorder="1" applyAlignment="1" applyProtection="1">
      <alignment vertical="center"/>
      <protection hidden="1"/>
    </xf>
    <xf numFmtId="0" fontId="1" fillId="33" borderId="11" xfId="0" applyFont="1" applyFill="1" applyBorder="1" applyAlignment="1" applyProtection="1">
      <alignment horizontal="center" vertical="center"/>
      <protection hidden="1"/>
    </xf>
    <xf numFmtId="172" fontId="1" fillId="35" borderId="16" xfId="0" applyNumberFormat="1" applyFont="1" applyFill="1" applyBorder="1" applyAlignment="1" applyProtection="1">
      <alignment horizontal="right" vertical="center"/>
      <protection hidden="1"/>
    </xf>
    <xf numFmtId="172" fontId="1" fillId="35" borderId="11" xfId="0" applyNumberFormat="1" applyFont="1" applyFill="1" applyBorder="1" applyAlignment="1" applyProtection="1">
      <alignment horizontal="right" vertical="center"/>
      <protection hidden="1"/>
    </xf>
    <xf numFmtId="172" fontId="12" fillId="33" borderId="0" xfId="0" applyNumberFormat="1" applyFont="1" applyFill="1" applyBorder="1" applyAlignment="1" applyProtection="1">
      <alignment vertical="center"/>
      <protection hidden="1"/>
    </xf>
    <xf numFmtId="172" fontId="1" fillId="35" borderId="15" xfId="0" applyNumberFormat="1" applyFont="1" applyFill="1" applyBorder="1" applyAlignment="1" applyProtection="1">
      <alignment horizontal="right" vertical="center"/>
      <protection hidden="1"/>
    </xf>
    <xf numFmtId="172" fontId="1" fillId="33" borderId="0" xfId="0" applyNumberFormat="1" applyFont="1" applyFill="1" applyBorder="1" applyAlignment="1" applyProtection="1">
      <alignment vertical="center"/>
      <protection hidden="1"/>
    </xf>
    <xf numFmtId="0" fontId="1" fillId="33" borderId="18" xfId="0" applyFont="1" applyFill="1" applyBorder="1" applyAlignment="1" applyProtection="1">
      <alignment horizontal="center" vertical="center"/>
      <protection/>
    </xf>
    <xf numFmtId="0" fontId="1" fillId="33" borderId="11" xfId="0" applyFont="1" applyFill="1" applyBorder="1" applyAlignment="1" applyProtection="1">
      <alignment horizontal="center" vertical="center"/>
      <protection/>
    </xf>
    <xf numFmtId="0" fontId="1" fillId="33" borderId="19" xfId="0" applyFont="1" applyFill="1" applyBorder="1" applyAlignment="1" applyProtection="1">
      <alignment horizontal="center" vertical="center"/>
      <protection/>
    </xf>
    <xf numFmtId="0" fontId="1" fillId="33" borderId="20" xfId="0" applyFont="1" applyFill="1" applyBorder="1" applyAlignment="1" applyProtection="1">
      <alignment vertical="center"/>
      <protection/>
    </xf>
    <xf numFmtId="0" fontId="1" fillId="33" borderId="21" xfId="0" applyFont="1" applyFill="1" applyBorder="1" applyAlignment="1" applyProtection="1">
      <alignment vertical="center"/>
      <protection/>
    </xf>
    <xf numFmtId="0" fontId="1" fillId="33" borderId="22" xfId="0" applyFont="1" applyFill="1" applyBorder="1" applyAlignment="1" applyProtection="1">
      <alignment vertical="center"/>
      <protection/>
    </xf>
    <xf numFmtId="0" fontId="1" fillId="33" borderId="23" xfId="0" applyFont="1" applyFill="1" applyBorder="1" applyAlignment="1" applyProtection="1">
      <alignment vertical="center"/>
      <protection/>
    </xf>
    <xf numFmtId="0" fontId="1" fillId="33" borderId="24" xfId="0" applyFont="1" applyFill="1" applyBorder="1" applyAlignment="1" applyProtection="1">
      <alignment vertical="center"/>
      <protection/>
    </xf>
    <xf numFmtId="172" fontId="1" fillId="35" borderId="16" xfId="0" applyNumberFormat="1" applyFont="1" applyFill="1" applyBorder="1" applyAlignment="1" applyProtection="1">
      <alignment horizontal="right" vertical="center"/>
      <protection hidden="1"/>
    </xf>
    <xf numFmtId="172" fontId="1" fillId="35" borderId="11" xfId="0" applyNumberFormat="1" applyFont="1" applyFill="1" applyBorder="1" applyAlignment="1" applyProtection="1">
      <alignment horizontal="right" vertical="center"/>
      <protection hidden="1"/>
    </xf>
    <xf numFmtId="0" fontId="1" fillId="33" borderId="0" xfId="0" applyFont="1" applyFill="1" applyAlignment="1" applyProtection="1">
      <alignment wrapText="1"/>
      <protection hidden="1"/>
    </xf>
    <xf numFmtId="0" fontId="1" fillId="33" borderId="0" xfId="0" applyFont="1" applyFill="1" applyBorder="1" applyAlignment="1" applyProtection="1">
      <alignment vertical="center"/>
      <protection hidden="1"/>
    </xf>
    <xf numFmtId="0" fontId="1" fillId="33" borderId="0" xfId="0" applyFont="1" applyFill="1" applyBorder="1" applyAlignment="1" applyProtection="1">
      <alignment horizontal="center" vertical="center"/>
      <protection hidden="1"/>
    </xf>
    <xf numFmtId="172" fontId="1" fillId="33" borderId="0" xfId="0" applyNumberFormat="1" applyFont="1" applyFill="1" applyBorder="1" applyAlignment="1" applyProtection="1">
      <alignment vertical="center"/>
      <protection hidden="1"/>
    </xf>
    <xf numFmtId="0" fontId="1" fillId="33" borderId="18" xfId="0" applyFont="1" applyFill="1" applyBorder="1" applyAlignment="1" applyProtection="1">
      <alignment horizontal="center" vertical="center"/>
      <protection hidden="1"/>
    </xf>
    <xf numFmtId="172" fontId="1" fillId="35" borderId="25" xfId="0" applyNumberFormat="1" applyFont="1" applyFill="1" applyBorder="1" applyAlignment="1" applyProtection="1">
      <alignment horizontal="right" vertical="center"/>
      <protection hidden="1"/>
    </xf>
    <xf numFmtId="172" fontId="1" fillId="35" borderId="18" xfId="0" applyNumberFormat="1" applyFont="1" applyFill="1" applyBorder="1" applyAlignment="1" applyProtection="1">
      <alignment horizontal="right" vertical="center"/>
      <protection hidden="1"/>
    </xf>
    <xf numFmtId="0" fontId="1" fillId="33" borderId="0" xfId="0" applyFont="1" applyFill="1" applyAlignment="1" applyProtection="1">
      <alignment vertical="center"/>
      <protection hidden="1"/>
    </xf>
    <xf numFmtId="0" fontId="1" fillId="33" borderId="0" xfId="0" applyFont="1" applyFill="1" applyAlignment="1" applyProtection="1">
      <alignment horizontal="center" vertical="center"/>
      <protection hidden="1"/>
    </xf>
    <xf numFmtId="0" fontId="1" fillId="33" borderId="11" xfId="0" applyFont="1" applyFill="1" applyBorder="1" applyAlignment="1" applyProtection="1">
      <alignment horizontal="left" vertical="center"/>
      <protection hidden="1"/>
    </xf>
    <xf numFmtId="172" fontId="1" fillId="35" borderId="16" xfId="0" applyNumberFormat="1" applyFont="1" applyFill="1" applyBorder="1" applyAlignment="1" applyProtection="1">
      <alignment horizontal="right" vertical="center"/>
      <protection hidden="1"/>
    </xf>
    <xf numFmtId="172" fontId="1" fillId="35" borderId="11" xfId="0" applyNumberFormat="1" applyFont="1" applyFill="1" applyBorder="1" applyAlignment="1" applyProtection="1">
      <alignment horizontal="right" vertical="center"/>
      <protection hidden="1"/>
    </xf>
    <xf numFmtId="172" fontId="1" fillId="35" borderId="26" xfId="0" applyNumberFormat="1" applyFont="1" applyFill="1" applyBorder="1" applyAlignment="1" applyProtection="1">
      <alignment horizontal="right" vertical="center"/>
      <protection hidden="1"/>
    </xf>
    <xf numFmtId="0" fontId="3" fillId="36" borderId="27" xfId="0" applyFont="1" applyFill="1" applyBorder="1" applyAlignment="1" applyProtection="1">
      <alignment horizontal="center" vertical="center"/>
      <protection hidden="1"/>
    </xf>
    <xf numFmtId="0" fontId="1" fillId="33" borderId="10" xfId="0" applyFont="1" applyFill="1" applyBorder="1" applyAlignment="1" applyProtection="1">
      <alignment horizontal="center" vertical="center"/>
      <protection hidden="1"/>
    </xf>
    <xf numFmtId="172" fontId="1" fillId="35" borderId="10" xfId="0" applyNumberFormat="1" applyFont="1" applyFill="1" applyBorder="1" applyAlignment="1" applyProtection="1">
      <alignment horizontal="right" vertical="center"/>
      <protection hidden="1"/>
    </xf>
    <xf numFmtId="0" fontId="1" fillId="33" borderId="28" xfId="0" applyFont="1" applyFill="1" applyBorder="1" applyAlignment="1" applyProtection="1">
      <alignment horizontal="center" vertical="center"/>
      <protection hidden="1"/>
    </xf>
    <xf numFmtId="0" fontId="1" fillId="37" borderId="14" xfId="0" applyFont="1" applyFill="1" applyBorder="1" applyAlignment="1" applyProtection="1">
      <alignment vertical="center"/>
      <protection hidden="1"/>
    </xf>
    <xf numFmtId="172" fontId="1" fillId="37" borderId="10" xfId="0" applyNumberFormat="1" applyFont="1" applyFill="1" applyBorder="1" applyAlignment="1" applyProtection="1">
      <alignment vertical="center"/>
      <protection hidden="1"/>
    </xf>
    <xf numFmtId="172" fontId="1" fillId="37" borderId="10" xfId="0" applyNumberFormat="1" applyFont="1" applyFill="1" applyBorder="1" applyAlignment="1" applyProtection="1">
      <alignment horizontal="center" vertical="center"/>
      <protection hidden="1"/>
    </xf>
    <xf numFmtId="172" fontId="1" fillId="33" borderId="0" xfId="0" applyNumberFormat="1" applyFont="1" applyFill="1" applyBorder="1" applyAlignment="1" applyProtection="1">
      <alignment horizontal="center" vertical="center"/>
      <protection hidden="1"/>
    </xf>
    <xf numFmtId="0" fontId="1" fillId="38" borderId="14" xfId="0" applyFont="1" applyFill="1" applyBorder="1" applyAlignment="1" applyProtection="1">
      <alignment horizontal="left" vertical="center"/>
      <protection hidden="1"/>
    </xf>
    <xf numFmtId="0" fontId="1" fillId="38" borderId="10" xfId="0" applyFont="1" applyFill="1" applyBorder="1" applyAlignment="1" applyProtection="1">
      <alignment horizontal="left" vertical="center"/>
      <protection hidden="1"/>
    </xf>
    <xf numFmtId="0" fontId="1" fillId="38" borderId="14" xfId="0" applyFont="1" applyFill="1" applyBorder="1" applyAlignment="1" applyProtection="1">
      <alignment horizontal="right" vertical="center"/>
      <protection hidden="1"/>
    </xf>
    <xf numFmtId="0" fontId="1" fillId="38" borderId="14" xfId="0" applyFont="1" applyFill="1" applyBorder="1" applyAlignment="1" applyProtection="1">
      <alignment vertical="center"/>
      <protection hidden="1"/>
    </xf>
    <xf numFmtId="0" fontId="1" fillId="38" borderId="29" xfId="0" applyFont="1" applyFill="1" applyBorder="1" applyAlignment="1" applyProtection="1">
      <alignment vertical="center"/>
      <protection hidden="1"/>
    </xf>
    <xf numFmtId="0" fontId="1" fillId="33" borderId="28" xfId="0" applyFont="1" applyFill="1" applyBorder="1" applyAlignment="1" applyProtection="1">
      <alignment vertical="center"/>
      <protection hidden="1"/>
    </xf>
    <xf numFmtId="0" fontId="1" fillId="0" borderId="0" xfId="0" applyFont="1" applyFill="1" applyBorder="1" applyAlignment="1" applyProtection="1">
      <alignment vertical="center"/>
      <protection hidden="1"/>
    </xf>
    <xf numFmtId="172" fontId="1" fillId="33" borderId="0" xfId="0" applyNumberFormat="1" applyFont="1" applyFill="1" applyAlignment="1" applyProtection="1">
      <alignment horizontal="center" vertical="center"/>
      <protection hidden="1"/>
    </xf>
    <xf numFmtId="0" fontId="1" fillId="33" borderId="11" xfId="0" applyFont="1" applyFill="1" applyBorder="1" applyAlignment="1" applyProtection="1">
      <alignment horizontal="center" vertical="center"/>
      <protection hidden="1"/>
    </xf>
    <xf numFmtId="0" fontId="1" fillId="33" borderId="16" xfId="0" applyFont="1" applyFill="1" applyBorder="1" applyAlignment="1" applyProtection="1">
      <alignment horizontal="center" vertical="center"/>
      <protection hidden="1"/>
    </xf>
    <xf numFmtId="2" fontId="1" fillId="33" borderId="0" xfId="0" applyNumberFormat="1" applyFont="1" applyFill="1" applyBorder="1" applyAlignment="1" applyProtection="1">
      <alignment vertical="center"/>
      <protection hidden="1"/>
    </xf>
    <xf numFmtId="0" fontId="1" fillId="37" borderId="14" xfId="0" applyFont="1" applyFill="1" applyBorder="1" applyAlignment="1" applyProtection="1">
      <alignment horizontal="center" vertical="center"/>
      <protection hidden="1"/>
    </xf>
    <xf numFmtId="0" fontId="1" fillId="37" borderId="14" xfId="0" applyFont="1" applyFill="1" applyBorder="1" applyAlignment="1" applyProtection="1">
      <alignment horizontal="left" vertical="center"/>
      <protection hidden="1"/>
    </xf>
    <xf numFmtId="0" fontId="1" fillId="38" borderId="10" xfId="0" applyFont="1" applyFill="1" applyBorder="1" applyAlignment="1" applyProtection="1">
      <alignment horizontal="right" vertical="center"/>
      <protection hidden="1"/>
    </xf>
    <xf numFmtId="0" fontId="4" fillId="33" borderId="0" xfId="0" applyFont="1" applyFill="1" applyBorder="1" applyAlignment="1" applyProtection="1">
      <alignment horizontal="right" vertical="center"/>
      <protection hidden="1"/>
    </xf>
    <xf numFmtId="0" fontId="6" fillId="0" borderId="0" xfId="0" applyFont="1" applyBorder="1" applyAlignment="1" applyProtection="1">
      <alignment/>
      <protection/>
    </xf>
    <xf numFmtId="0" fontId="1" fillId="33" borderId="0" xfId="0" applyFont="1" applyFill="1" applyAlignment="1" applyProtection="1">
      <alignment wrapText="1"/>
      <protection hidden="1"/>
    </xf>
    <xf numFmtId="172" fontId="1" fillId="33" borderId="0" xfId="0" applyNumberFormat="1" applyFont="1" applyFill="1" applyBorder="1" applyAlignment="1" applyProtection="1">
      <alignment horizontal="center" vertical="center"/>
      <protection hidden="1"/>
    </xf>
    <xf numFmtId="0" fontId="1" fillId="33" borderId="0" xfId="0" applyFont="1" applyFill="1" applyBorder="1" applyAlignment="1" applyProtection="1">
      <alignment horizontal="right" vertical="center"/>
      <protection hidden="1"/>
    </xf>
    <xf numFmtId="172" fontId="1" fillId="33" borderId="0" xfId="0" applyNumberFormat="1" applyFont="1" applyFill="1" applyBorder="1" applyAlignment="1" applyProtection="1">
      <alignment horizontal="right" vertical="center"/>
      <protection hidden="1"/>
    </xf>
    <xf numFmtId="0" fontId="3" fillId="33" borderId="0" xfId="0" applyFont="1" applyFill="1" applyBorder="1" applyAlignment="1" applyProtection="1">
      <alignment vertical="center"/>
      <protection hidden="1"/>
    </xf>
    <xf numFmtId="0" fontId="3" fillId="36" borderId="27" xfId="0" applyFont="1" applyFill="1" applyBorder="1" applyAlignment="1" applyProtection="1">
      <alignment horizontal="center" vertical="center"/>
      <protection hidden="1"/>
    </xf>
    <xf numFmtId="0" fontId="1" fillId="33" borderId="10" xfId="0" applyFont="1" applyFill="1" applyBorder="1" applyAlignment="1" applyProtection="1">
      <alignment horizontal="center" vertical="center"/>
      <protection hidden="1"/>
    </xf>
    <xf numFmtId="2" fontId="1" fillId="33" borderId="0" xfId="0" applyNumberFormat="1" applyFont="1" applyFill="1" applyBorder="1" applyAlignment="1" applyProtection="1">
      <alignment vertical="center"/>
      <protection hidden="1"/>
    </xf>
    <xf numFmtId="0" fontId="1" fillId="33" borderId="28" xfId="0" applyFont="1" applyFill="1" applyBorder="1" applyAlignment="1" applyProtection="1">
      <alignment horizontal="center" vertical="center"/>
      <protection hidden="1"/>
    </xf>
    <xf numFmtId="0" fontId="1" fillId="38" borderId="10" xfId="0" applyFont="1" applyFill="1" applyBorder="1" applyAlignment="1" applyProtection="1">
      <alignment horizontal="right" vertical="center"/>
      <protection hidden="1"/>
    </xf>
    <xf numFmtId="0" fontId="1" fillId="38" borderId="14" xfId="0" applyFont="1" applyFill="1" applyBorder="1" applyAlignment="1" applyProtection="1">
      <alignment horizontal="left" vertical="center"/>
      <protection hidden="1"/>
    </xf>
    <xf numFmtId="0" fontId="1" fillId="38" borderId="29" xfId="0" applyFont="1" applyFill="1" applyBorder="1" applyAlignment="1" applyProtection="1">
      <alignment vertical="center"/>
      <protection hidden="1"/>
    </xf>
    <xf numFmtId="0" fontId="1" fillId="33" borderId="28" xfId="0" applyFont="1" applyFill="1" applyBorder="1" applyAlignment="1" applyProtection="1">
      <alignment vertical="center"/>
      <protection hidden="1"/>
    </xf>
    <xf numFmtId="0" fontId="1" fillId="0" borderId="0" xfId="0" applyFont="1" applyFill="1" applyBorder="1" applyAlignment="1" applyProtection="1">
      <alignment vertical="center"/>
      <protection hidden="1"/>
    </xf>
    <xf numFmtId="175" fontId="1" fillId="33" borderId="0" xfId="0" applyNumberFormat="1" applyFont="1" applyFill="1" applyBorder="1" applyAlignment="1" applyProtection="1">
      <alignment horizontal="center" vertical="center"/>
      <protection hidden="1"/>
    </xf>
    <xf numFmtId="175" fontId="1" fillId="33" borderId="0" xfId="0" applyNumberFormat="1" applyFont="1" applyFill="1" applyBorder="1" applyAlignment="1" applyProtection="1">
      <alignment horizontal="right" vertical="center"/>
      <protection hidden="1"/>
    </xf>
    <xf numFmtId="175" fontId="1" fillId="33" borderId="0" xfId="0" applyNumberFormat="1" applyFont="1" applyFill="1" applyBorder="1" applyAlignment="1" applyProtection="1">
      <alignment vertical="center"/>
      <protection hidden="1"/>
    </xf>
    <xf numFmtId="175" fontId="1" fillId="33" borderId="28" xfId="0" applyNumberFormat="1" applyFont="1" applyFill="1" applyBorder="1" applyAlignment="1" applyProtection="1">
      <alignment horizontal="center" vertical="center"/>
      <protection hidden="1"/>
    </xf>
    <xf numFmtId="175" fontId="1" fillId="33" borderId="28" xfId="0" applyNumberFormat="1" applyFont="1" applyFill="1" applyBorder="1" applyAlignment="1" applyProtection="1">
      <alignment vertical="center"/>
      <protection hidden="1"/>
    </xf>
    <xf numFmtId="2" fontId="1" fillId="37" borderId="14" xfId="0" applyNumberFormat="1" applyFont="1" applyFill="1" applyBorder="1" applyAlignment="1" applyProtection="1">
      <alignment horizontal="center" vertical="center"/>
      <protection hidden="1"/>
    </xf>
    <xf numFmtId="2" fontId="14" fillId="33" borderId="0" xfId="0" applyNumberFormat="1" applyFont="1" applyFill="1" applyBorder="1" applyAlignment="1" applyProtection="1">
      <alignment horizontal="right" vertical="center"/>
      <protection hidden="1"/>
    </xf>
    <xf numFmtId="1" fontId="1" fillId="38" borderId="28" xfId="0" applyNumberFormat="1" applyFont="1" applyFill="1" applyBorder="1" applyAlignment="1" applyProtection="1">
      <alignment horizontal="right" vertical="center"/>
      <protection hidden="1"/>
    </xf>
    <xf numFmtId="172" fontId="1" fillId="35" borderId="16" xfId="0" applyNumberFormat="1" applyFont="1" applyFill="1" applyBorder="1" applyAlignment="1" applyProtection="1">
      <alignment horizontal="center" vertical="center"/>
      <protection hidden="1"/>
    </xf>
    <xf numFmtId="172" fontId="1" fillId="35" borderId="18" xfId="0" applyNumberFormat="1" applyFont="1" applyFill="1" applyBorder="1" applyAlignment="1" applyProtection="1">
      <alignment horizontal="center" vertical="center"/>
      <protection hidden="1"/>
    </xf>
    <xf numFmtId="172" fontId="1" fillId="35" borderId="30" xfId="0" applyNumberFormat="1" applyFont="1" applyFill="1" applyBorder="1" applyAlignment="1" applyProtection="1">
      <alignment horizontal="center" vertical="center"/>
      <protection hidden="1"/>
    </xf>
    <xf numFmtId="172" fontId="1" fillId="35" borderId="31" xfId="0" applyNumberFormat="1" applyFont="1" applyFill="1" applyBorder="1" applyAlignment="1" applyProtection="1">
      <alignment horizontal="center" vertical="center"/>
      <protection hidden="1"/>
    </xf>
    <xf numFmtId="172" fontId="1" fillId="35" borderId="11" xfId="0" applyNumberFormat="1" applyFont="1" applyFill="1" applyBorder="1" applyAlignment="1" applyProtection="1">
      <alignment horizontal="center" vertical="center"/>
      <protection hidden="1"/>
    </xf>
    <xf numFmtId="172" fontId="1" fillId="35" borderId="32" xfId="0" applyNumberFormat="1" applyFont="1" applyFill="1" applyBorder="1" applyAlignment="1" applyProtection="1">
      <alignment horizontal="center" vertical="center"/>
      <protection hidden="1"/>
    </xf>
    <xf numFmtId="172" fontId="1" fillId="35" borderId="33" xfId="0" applyNumberFormat="1" applyFont="1" applyFill="1" applyBorder="1" applyAlignment="1" applyProtection="1">
      <alignment horizontal="center" vertical="center"/>
      <protection hidden="1"/>
    </xf>
    <xf numFmtId="172" fontId="13" fillId="35" borderId="16" xfId="0" applyNumberFormat="1" applyFont="1" applyFill="1" applyBorder="1" applyAlignment="1" applyProtection="1">
      <alignment horizontal="center" vertical="center"/>
      <protection hidden="1"/>
    </xf>
    <xf numFmtId="0" fontId="13" fillId="33" borderId="0" xfId="0" applyFont="1" applyFill="1" applyBorder="1" applyAlignment="1" applyProtection="1">
      <alignment horizontal="center" vertical="center"/>
      <protection hidden="1"/>
    </xf>
    <xf numFmtId="172" fontId="13" fillId="35" borderId="11" xfId="0" applyNumberFormat="1" applyFont="1" applyFill="1" applyBorder="1" applyAlignment="1" applyProtection="1">
      <alignment horizontal="center" vertical="center"/>
      <protection hidden="1"/>
    </xf>
    <xf numFmtId="172" fontId="13" fillId="35" borderId="32" xfId="0" applyNumberFormat="1" applyFont="1" applyFill="1" applyBorder="1" applyAlignment="1" applyProtection="1">
      <alignment horizontal="center" vertical="center"/>
      <protection hidden="1"/>
    </xf>
    <xf numFmtId="172" fontId="13" fillId="35" borderId="33" xfId="0" applyNumberFormat="1" applyFont="1" applyFill="1" applyBorder="1" applyAlignment="1" applyProtection="1">
      <alignment horizontal="center" vertical="center"/>
      <protection hidden="1"/>
    </xf>
    <xf numFmtId="172" fontId="1" fillId="35" borderId="26" xfId="0" applyNumberFormat="1" applyFont="1" applyFill="1" applyBorder="1" applyAlignment="1" applyProtection="1">
      <alignment horizontal="center" vertical="center"/>
      <protection hidden="1"/>
    </xf>
    <xf numFmtId="172" fontId="1" fillId="35" borderId="34" xfId="0" applyNumberFormat="1" applyFont="1" applyFill="1" applyBorder="1" applyAlignment="1" applyProtection="1">
      <alignment horizontal="center" vertical="center"/>
      <protection hidden="1"/>
    </xf>
    <xf numFmtId="172" fontId="1" fillId="35" borderId="35" xfId="0" applyNumberFormat="1" applyFont="1" applyFill="1" applyBorder="1" applyAlignment="1" applyProtection="1">
      <alignment horizontal="center" vertical="center"/>
      <protection hidden="1"/>
    </xf>
    <xf numFmtId="172" fontId="1" fillId="35" borderId="36" xfId="0" applyNumberFormat="1" applyFont="1" applyFill="1" applyBorder="1" applyAlignment="1" applyProtection="1">
      <alignment horizontal="center" vertical="center"/>
      <protection hidden="1"/>
    </xf>
    <xf numFmtId="172" fontId="1" fillId="35" borderId="10" xfId="0" applyNumberFormat="1" applyFont="1" applyFill="1" applyBorder="1" applyAlignment="1" applyProtection="1">
      <alignment horizontal="center" vertical="center"/>
      <protection hidden="1"/>
    </xf>
    <xf numFmtId="172" fontId="1" fillId="35" borderId="19" xfId="0" applyNumberFormat="1" applyFont="1" applyFill="1" applyBorder="1" applyAlignment="1" applyProtection="1">
      <alignment horizontal="center" vertical="center"/>
      <protection hidden="1"/>
    </xf>
    <xf numFmtId="172" fontId="1" fillId="35" borderId="37" xfId="0" applyNumberFormat="1" applyFont="1" applyFill="1" applyBorder="1" applyAlignment="1" applyProtection="1">
      <alignment horizontal="center" vertical="center"/>
      <protection hidden="1"/>
    </xf>
    <xf numFmtId="172" fontId="1" fillId="35" borderId="38" xfId="0" applyNumberFormat="1" applyFont="1" applyFill="1" applyBorder="1" applyAlignment="1" applyProtection="1">
      <alignment horizontal="center" vertical="center"/>
      <protection hidden="1"/>
    </xf>
    <xf numFmtId="0" fontId="1" fillId="37" borderId="29" xfId="0" applyFont="1" applyFill="1" applyBorder="1" applyAlignment="1" applyProtection="1">
      <alignment horizontal="center" vertical="center"/>
      <protection hidden="1"/>
    </xf>
    <xf numFmtId="173" fontId="1" fillId="37" borderId="10" xfId="0" applyNumberFormat="1" applyFont="1" applyFill="1" applyBorder="1" applyAlignment="1" applyProtection="1">
      <alignment horizontal="center" vertical="center"/>
      <protection hidden="1"/>
    </xf>
    <xf numFmtId="175" fontId="1" fillId="37" borderId="14" xfId="0" applyNumberFormat="1" applyFont="1" applyFill="1" applyBorder="1" applyAlignment="1" applyProtection="1">
      <alignment horizontal="center" vertical="center"/>
      <protection hidden="1"/>
    </xf>
    <xf numFmtId="172" fontId="1" fillId="37" borderId="10" xfId="0" applyNumberFormat="1" applyFont="1" applyFill="1" applyBorder="1" applyAlignment="1" applyProtection="1">
      <alignment horizontal="center" vertical="center"/>
      <protection hidden="1"/>
    </xf>
    <xf numFmtId="172" fontId="1" fillId="37" borderId="39" xfId="0" applyNumberFormat="1" applyFont="1" applyFill="1" applyBorder="1" applyAlignment="1" applyProtection="1">
      <alignment horizontal="center" vertical="center"/>
      <protection hidden="1"/>
    </xf>
    <xf numFmtId="172" fontId="1" fillId="37" borderId="40" xfId="0" applyNumberFormat="1" applyFont="1" applyFill="1" applyBorder="1" applyAlignment="1" applyProtection="1">
      <alignment horizontal="center" vertical="center"/>
      <protection hidden="1"/>
    </xf>
    <xf numFmtId="172" fontId="1" fillId="33" borderId="28" xfId="0" applyNumberFormat="1" applyFont="1" applyFill="1" applyBorder="1" applyAlignment="1" applyProtection="1">
      <alignment horizontal="center" vertical="center"/>
      <protection hidden="1"/>
    </xf>
    <xf numFmtId="172" fontId="1" fillId="37" borderId="39" xfId="0" applyNumberFormat="1" applyFont="1" applyFill="1" applyBorder="1" applyAlignment="1" applyProtection="1">
      <alignment horizontal="center" vertical="center"/>
      <protection hidden="1"/>
    </xf>
    <xf numFmtId="172" fontId="1" fillId="37" borderId="40" xfId="0" applyNumberFormat="1" applyFont="1" applyFill="1" applyBorder="1" applyAlignment="1" applyProtection="1">
      <alignment horizontal="center" vertical="center"/>
      <protection hidden="1"/>
    </xf>
    <xf numFmtId="175" fontId="5" fillId="33" borderId="40" xfId="0" applyNumberFormat="1" applyFont="1" applyFill="1" applyBorder="1" applyAlignment="1" applyProtection="1">
      <alignment horizontal="center" vertical="center" wrapText="1"/>
      <protection hidden="1"/>
    </xf>
    <xf numFmtId="9" fontId="1" fillId="39" borderId="31" xfId="0" applyNumberFormat="1" applyFont="1" applyFill="1" applyBorder="1" applyAlignment="1" applyProtection="1">
      <alignment horizontal="center" vertical="center"/>
      <protection hidden="1"/>
    </xf>
    <xf numFmtId="9" fontId="1" fillId="39" borderId="33" xfId="0" applyNumberFormat="1" applyFont="1" applyFill="1" applyBorder="1" applyAlignment="1" applyProtection="1">
      <alignment horizontal="center" vertical="center"/>
      <protection hidden="1"/>
    </xf>
    <xf numFmtId="9" fontId="13" fillId="35" borderId="33" xfId="57" applyFont="1" applyFill="1" applyBorder="1" applyAlignment="1" applyProtection="1">
      <alignment horizontal="center" vertical="center"/>
      <protection hidden="1"/>
    </xf>
    <xf numFmtId="9" fontId="1" fillId="39" borderId="36" xfId="0" applyNumberFormat="1" applyFont="1" applyFill="1" applyBorder="1" applyAlignment="1" applyProtection="1">
      <alignment horizontal="center" vertical="center"/>
      <protection hidden="1"/>
    </xf>
    <xf numFmtId="9" fontId="1" fillId="39" borderId="38" xfId="0" applyNumberFormat="1" applyFont="1" applyFill="1" applyBorder="1" applyAlignment="1" applyProtection="1">
      <alignment horizontal="center" vertical="center"/>
      <protection hidden="1"/>
    </xf>
    <xf numFmtId="0" fontId="1" fillId="40" borderId="11" xfId="0" applyFont="1" applyFill="1" applyBorder="1" applyAlignment="1" applyProtection="1">
      <alignment horizontal="center" vertical="center"/>
      <protection hidden="1" locked="0"/>
    </xf>
    <xf numFmtId="0" fontId="13" fillId="33" borderId="11" xfId="0" applyFont="1" applyFill="1" applyBorder="1" applyAlignment="1" applyProtection="1">
      <alignment horizontal="center" vertical="center"/>
      <protection hidden="1"/>
    </xf>
    <xf numFmtId="1" fontId="1" fillId="33" borderId="11" xfId="0" applyNumberFormat="1" applyFont="1" applyFill="1" applyBorder="1" applyAlignment="1" applyProtection="1">
      <alignment horizontal="center" vertical="center"/>
      <protection hidden="1"/>
    </xf>
    <xf numFmtId="0" fontId="1" fillId="40" borderId="15" xfId="0" applyFont="1" applyFill="1" applyBorder="1" applyAlignment="1" applyProtection="1">
      <alignment horizontal="center" vertical="center"/>
      <protection hidden="1" locked="0"/>
    </xf>
    <xf numFmtId="174" fontId="1" fillId="33" borderId="10" xfId="0" applyNumberFormat="1" applyFont="1" applyFill="1" applyBorder="1" applyAlignment="1" applyProtection="1">
      <alignment horizontal="center" vertical="center"/>
      <protection hidden="1"/>
    </xf>
    <xf numFmtId="0" fontId="3" fillId="33" borderId="41" xfId="0" applyFont="1" applyFill="1" applyBorder="1" applyAlignment="1" applyProtection="1">
      <alignment horizontal="center" vertical="center"/>
      <protection hidden="1"/>
    </xf>
    <xf numFmtId="0" fontId="1" fillId="40" borderId="42" xfId="0" applyFont="1" applyFill="1" applyBorder="1" applyAlignment="1" applyProtection="1">
      <alignment horizontal="center" vertical="center"/>
      <protection hidden="1" locked="0"/>
    </xf>
    <xf numFmtId="0" fontId="1" fillId="35" borderId="42" xfId="0" applyFont="1" applyFill="1" applyBorder="1" applyAlignment="1" applyProtection="1">
      <alignment horizontal="center" vertical="center"/>
      <protection hidden="1"/>
    </xf>
    <xf numFmtId="0" fontId="13" fillId="35" borderId="42" xfId="0" applyFont="1" applyFill="1" applyBorder="1" applyAlignment="1" applyProtection="1">
      <alignment horizontal="center" vertical="center"/>
      <protection hidden="1"/>
    </xf>
    <xf numFmtId="0" fontId="1" fillId="35" borderId="41" xfId="0" applyFont="1" applyFill="1" applyBorder="1" applyAlignment="1" applyProtection="1">
      <alignment horizontal="center" vertical="center"/>
      <protection hidden="1"/>
    </xf>
    <xf numFmtId="172" fontId="5" fillId="33" borderId="10" xfId="0" applyNumberFormat="1" applyFont="1" applyFill="1" applyBorder="1" applyAlignment="1" applyProtection="1">
      <alignment horizontal="center" vertical="center" wrapText="1"/>
      <protection hidden="1"/>
    </xf>
    <xf numFmtId="175" fontId="1" fillId="37" borderId="40" xfId="0" applyNumberFormat="1" applyFont="1" applyFill="1" applyBorder="1" applyAlignment="1" applyProtection="1">
      <alignment horizontal="center" vertical="center"/>
      <protection hidden="1"/>
    </xf>
    <xf numFmtId="172" fontId="1" fillId="37" borderId="14" xfId="0" applyNumberFormat="1" applyFont="1" applyFill="1" applyBorder="1" applyAlignment="1" applyProtection="1">
      <alignment horizontal="center" vertical="center"/>
      <protection hidden="1"/>
    </xf>
    <xf numFmtId="0" fontId="4" fillId="33" borderId="14" xfId="0" applyFont="1" applyFill="1" applyBorder="1" applyAlignment="1" applyProtection="1">
      <alignment vertical="center"/>
      <protection hidden="1"/>
    </xf>
    <xf numFmtId="0" fontId="4" fillId="33" borderId="0" xfId="0" applyFont="1" applyFill="1" applyBorder="1" applyAlignment="1" applyProtection="1">
      <alignment horizontal="center" vertical="center"/>
      <protection hidden="1"/>
    </xf>
    <xf numFmtId="0" fontId="4" fillId="33" borderId="0" xfId="0" applyFont="1" applyFill="1" applyBorder="1" applyAlignment="1" applyProtection="1">
      <alignment vertical="center"/>
      <protection hidden="1"/>
    </xf>
    <xf numFmtId="0" fontId="1" fillId="33" borderId="0" xfId="0" applyFont="1" applyFill="1" applyBorder="1" applyAlignment="1" applyProtection="1">
      <alignment wrapText="1"/>
      <protection hidden="1"/>
    </xf>
    <xf numFmtId="0" fontId="6" fillId="34" borderId="0" xfId="0" applyFont="1" applyFill="1" applyBorder="1" applyAlignment="1" applyProtection="1">
      <alignment/>
      <protection hidden="1"/>
    </xf>
    <xf numFmtId="172" fontId="6" fillId="34" borderId="0" xfId="0" applyNumberFormat="1" applyFont="1" applyFill="1" applyBorder="1" applyAlignment="1" applyProtection="1">
      <alignment/>
      <protection hidden="1"/>
    </xf>
    <xf numFmtId="0" fontId="6" fillId="34" borderId="0" xfId="0" applyFont="1" applyFill="1" applyBorder="1" applyAlignment="1" applyProtection="1">
      <alignment horizontal="center"/>
      <protection hidden="1"/>
    </xf>
    <xf numFmtId="0" fontId="6" fillId="0" borderId="0" xfId="0" applyFont="1" applyBorder="1" applyAlignment="1" applyProtection="1">
      <alignment/>
      <protection hidden="1"/>
    </xf>
    <xf numFmtId="0" fontId="21" fillId="34" borderId="0" xfId="0" applyFont="1" applyFill="1" applyBorder="1" applyAlignment="1" applyProtection="1">
      <alignment vertical="center"/>
      <protection hidden="1"/>
    </xf>
    <xf numFmtId="0" fontId="18" fillId="33" borderId="0" xfId="0" applyFont="1" applyFill="1" applyBorder="1" applyAlignment="1" applyProtection="1">
      <alignment vertical="center"/>
      <protection hidden="1"/>
    </xf>
    <xf numFmtId="0" fontId="1" fillId="33" borderId="0" xfId="0" applyFont="1" applyFill="1" applyBorder="1" applyAlignment="1" applyProtection="1">
      <alignment vertical="center"/>
      <protection hidden="1"/>
    </xf>
    <xf numFmtId="0" fontId="21" fillId="34" borderId="0" xfId="0" applyFont="1" applyFill="1" applyBorder="1" applyAlignment="1" applyProtection="1">
      <alignment horizontal="center" vertical="center"/>
      <protection hidden="1"/>
    </xf>
    <xf numFmtId="172" fontId="21" fillId="34" borderId="0" xfId="0" applyNumberFormat="1" applyFont="1" applyFill="1" applyBorder="1" applyAlignment="1" applyProtection="1">
      <alignment horizontal="center" vertical="center"/>
      <protection hidden="1"/>
    </xf>
    <xf numFmtId="0" fontId="6" fillId="34" borderId="0" xfId="0" applyFont="1" applyFill="1" applyBorder="1" applyAlignment="1" applyProtection="1">
      <alignment vertical="center"/>
      <protection hidden="1"/>
    </xf>
    <xf numFmtId="0" fontId="22" fillId="33" borderId="43" xfId="0" applyFont="1" applyFill="1" applyBorder="1" applyAlignment="1" applyProtection="1">
      <alignment horizontal="center" vertical="center"/>
      <protection hidden="1"/>
    </xf>
    <xf numFmtId="172" fontId="6" fillId="41" borderId="44" xfId="0" applyNumberFormat="1" applyFont="1" applyFill="1" applyBorder="1" applyAlignment="1" applyProtection="1">
      <alignment horizontal="center"/>
      <protection hidden="1"/>
    </xf>
    <xf numFmtId="172" fontId="6" fillId="41" borderId="45" xfId="0" applyNumberFormat="1" applyFont="1" applyFill="1" applyBorder="1" applyAlignment="1" applyProtection="1">
      <alignment horizontal="center"/>
      <protection hidden="1"/>
    </xf>
    <xf numFmtId="172" fontId="18" fillId="41" borderId="20" xfId="0" applyNumberFormat="1" applyFont="1" applyFill="1" applyBorder="1" applyAlignment="1" applyProtection="1">
      <alignment horizontal="right" vertical="center"/>
      <protection hidden="1"/>
    </xf>
    <xf numFmtId="172" fontId="6" fillId="41" borderId="23" xfId="0" applyNumberFormat="1" applyFont="1" applyFill="1" applyBorder="1" applyAlignment="1" applyProtection="1">
      <alignment horizontal="center"/>
      <protection hidden="1"/>
    </xf>
    <xf numFmtId="172" fontId="18" fillId="42" borderId="16" xfId="0" applyNumberFormat="1" applyFont="1" applyFill="1" applyBorder="1" applyAlignment="1" applyProtection="1">
      <alignment horizontal="center" vertical="center"/>
      <protection hidden="1"/>
    </xf>
    <xf numFmtId="172" fontId="18" fillId="42" borderId="23" xfId="0" applyNumberFormat="1" applyFont="1" applyFill="1" applyBorder="1" applyAlignment="1" applyProtection="1">
      <alignment horizontal="right" vertical="center"/>
      <protection hidden="1"/>
    </xf>
    <xf numFmtId="172" fontId="18" fillId="41" borderId="46" xfId="0" applyNumberFormat="1" applyFont="1" applyFill="1" applyBorder="1" applyAlignment="1" applyProtection="1">
      <alignment horizontal="right" vertical="center"/>
      <protection hidden="1"/>
    </xf>
    <xf numFmtId="172" fontId="18" fillId="41" borderId="47" xfId="0" applyNumberFormat="1" applyFont="1" applyFill="1" applyBorder="1" applyAlignment="1" applyProtection="1">
      <alignment horizontal="right" vertical="center"/>
      <protection hidden="1"/>
    </xf>
    <xf numFmtId="172" fontId="18" fillId="41" borderId="48" xfId="0" applyNumberFormat="1" applyFont="1" applyFill="1" applyBorder="1" applyAlignment="1" applyProtection="1">
      <alignment horizontal="right" vertical="center"/>
      <protection hidden="1"/>
    </xf>
    <xf numFmtId="172" fontId="6" fillId="41" borderId="49" xfId="0" applyNumberFormat="1" applyFont="1" applyFill="1" applyBorder="1" applyAlignment="1" applyProtection="1">
      <alignment horizontal="center"/>
      <protection hidden="1"/>
    </xf>
    <xf numFmtId="172" fontId="18" fillId="42" borderId="26" xfId="0" applyNumberFormat="1" applyFont="1" applyFill="1" applyBorder="1" applyAlignment="1" applyProtection="1">
      <alignment horizontal="center" vertical="center"/>
      <protection hidden="1"/>
    </xf>
    <xf numFmtId="172" fontId="6" fillId="41" borderId="50" xfId="0" applyNumberFormat="1" applyFont="1" applyFill="1" applyBorder="1" applyAlignment="1" applyProtection="1">
      <alignment horizontal="center"/>
      <protection hidden="1"/>
    </xf>
    <xf numFmtId="0" fontId="18" fillId="33" borderId="11" xfId="0" applyFont="1" applyFill="1" applyBorder="1" applyAlignment="1" applyProtection="1">
      <alignment horizontal="center" vertical="center"/>
      <protection hidden="1"/>
    </xf>
    <xf numFmtId="0" fontId="6" fillId="34" borderId="51" xfId="0" applyFont="1" applyFill="1" applyBorder="1" applyAlignment="1" applyProtection="1">
      <alignment/>
      <protection hidden="1"/>
    </xf>
    <xf numFmtId="172" fontId="18" fillId="41" borderId="52" xfId="0" applyNumberFormat="1" applyFont="1" applyFill="1" applyBorder="1" applyAlignment="1" applyProtection="1">
      <alignment horizontal="right" vertical="center"/>
      <protection hidden="1"/>
    </xf>
    <xf numFmtId="172" fontId="18" fillId="41" borderId="53" xfId="0" applyNumberFormat="1" applyFont="1" applyFill="1" applyBorder="1" applyAlignment="1" applyProtection="1">
      <alignment horizontal="right" vertical="center"/>
      <protection hidden="1"/>
    </xf>
    <xf numFmtId="172" fontId="18" fillId="41" borderId="54" xfId="0" applyNumberFormat="1" applyFont="1" applyFill="1" applyBorder="1" applyAlignment="1" applyProtection="1">
      <alignment horizontal="right" vertical="center"/>
      <protection hidden="1"/>
    </xf>
    <xf numFmtId="172" fontId="18" fillId="41" borderId="28" xfId="0" applyNumberFormat="1" applyFont="1" applyFill="1" applyBorder="1" applyAlignment="1" applyProtection="1">
      <alignment horizontal="right" vertical="center"/>
      <protection hidden="1"/>
    </xf>
    <xf numFmtId="0" fontId="6" fillId="34" borderId="0" xfId="0" applyFont="1" applyFill="1" applyAlignment="1" applyProtection="1">
      <alignment/>
      <protection hidden="1"/>
    </xf>
    <xf numFmtId="172" fontId="6" fillId="34" borderId="0" xfId="0" applyNumberFormat="1" applyFont="1" applyFill="1" applyAlignment="1" applyProtection="1">
      <alignment/>
      <protection hidden="1"/>
    </xf>
    <xf numFmtId="0" fontId="6" fillId="34" borderId="0" xfId="0" applyFont="1" applyFill="1" applyAlignment="1" applyProtection="1">
      <alignment horizontal="center"/>
      <protection hidden="1"/>
    </xf>
    <xf numFmtId="0" fontId="6" fillId="0" borderId="0" xfId="0" applyFont="1" applyAlignment="1" applyProtection="1">
      <alignment horizontal="center"/>
      <protection hidden="1"/>
    </xf>
    <xf numFmtId="0" fontId="6" fillId="0" borderId="0" xfId="0" applyFont="1" applyAlignment="1" applyProtection="1">
      <alignment/>
      <protection hidden="1"/>
    </xf>
    <xf numFmtId="172" fontId="6" fillId="0" borderId="0" xfId="0" applyNumberFormat="1" applyFont="1" applyAlignment="1" applyProtection="1">
      <alignment/>
      <protection hidden="1"/>
    </xf>
    <xf numFmtId="9" fontId="18" fillId="0" borderId="17" xfId="0" applyNumberFormat="1" applyFont="1" applyBorder="1" applyAlignment="1" applyProtection="1">
      <alignment horizontal="center"/>
      <protection hidden="1"/>
    </xf>
    <xf numFmtId="9" fontId="18" fillId="0" borderId="11" xfId="0" applyNumberFormat="1" applyFont="1" applyBorder="1" applyAlignment="1" applyProtection="1">
      <alignment horizontal="center"/>
      <protection hidden="1"/>
    </xf>
    <xf numFmtId="9" fontId="18" fillId="0" borderId="15" xfId="0" applyNumberFormat="1" applyFont="1" applyBorder="1" applyAlignment="1" applyProtection="1">
      <alignment horizontal="center"/>
      <protection hidden="1"/>
    </xf>
    <xf numFmtId="9" fontId="18" fillId="0" borderId="26" xfId="0" applyNumberFormat="1" applyFont="1" applyBorder="1" applyAlignment="1" applyProtection="1">
      <alignment horizontal="center"/>
      <protection hidden="1"/>
    </xf>
    <xf numFmtId="0" fontId="0" fillId="34" borderId="0" xfId="0" applyFill="1" applyAlignment="1" applyProtection="1">
      <alignment/>
      <protection hidden="1"/>
    </xf>
    <xf numFmtId="0" fontId="0" fillId="34" borderId="0" xfId="0" applyFill="1" applyAlignment="1" applyProtection="1">
      <alignment/>
      <protection hidden="1"/>
    </xf>
    <xf numFmtId="0" fontId="0" fillId="34" borderId="0" xfId="0" applyFill="1" applyAlignment="1" applyProtection="1">
      <alignment wrapText="1"/>
      <protection hidden="1"/>
    </xf>
    <xf numFmtId="0" fontId="1" fillId="33" borderId="51" xfId="0" applyFont="1" applyFill="1" applyBorder="1" applyAlignment="1" applyProtection="1">
      <alignment horizontal="center" vertical="center"/>
      <protection hidden="1"/>
    </xf>
    <xf numFmtId="0" fontId="1" fillId="33" borderId="51" xfId="0" applyFont="1" applyFill="1" applyBorder="1" applyAlignment="1" applyProtection="1">
      <alignment vertical="center"/>
      <protection hidden="1"/>
    </xf>
    <xf numFmtId="175" fontId="1" fillId="33" borderId="51" xfId="0" applyNumberFormat="1" applyFont="1" applyFill="1" applyBorder="1" applyAlignment="1" applyProtection="1">
      <alignment horizontal="center" vertical="center"/>
      <protection hidden="1"/>
    </xf>
    <xf numFmtId="172" fontId="1" fillId="33" borderId="51" xfId="0" applyNumberFormat="1" applyFont="1" applyFill="1" applyBorder="1" applyAlignment="1" applyProtection="1">
      <alignment horizontal="center" vertical="center"/>
      <protection hidden="1"/>
    </xf>
    <xf numFmtId="0" fontId="1" fillId="33" borderId="55" xfId="0" applyFont="1" applyFill="1" applyBorder="1" applyAlignment="1" applyProtection="1">
      <alignment vertical="center"/>
      <protection hidden="1"/>
    </xf>
    <xf numFmtId="0" fontId="1" fillId="33" borderId="55" xfId="0" applyFont="1" applyFill="1" applyBorder="1" applyAlignment="1" applyProtection="1">
      <alignment vertical="center"/>
      <protection hidden="1"/>
    </xf>
    <xf numFmtId="0" fontId="1" fillId="33" borderId="55" xfId="0" applyFont="1" applyFill="1" applyBorder="1" applyAlignment="1" applyProtection="1">
      <alignment vertical="center"/>
      <protection hidden="1"/>
    </xf>
    <xf numFmtId="172" fontId="1" fillId="33" borderId="0" xfId="0" applyNumberFormat="1" applyFont="1" applyFill="1" applyBorder="1" applyAlignment="1" applyProtection="1">
      <alignment horizontal="center" vertical="center"/>
      <protection hidden="1"/>
    </xf>
    <xf numFmtId="0" fontId="1" fillId="33" borderId="51" xfId="0" applyFont="1" applyFill="1" applyBorder="1" applyAlignment="1" applyProtection="1">
      <alignment horizontal="center" vertical="center"/>
      <protection hidden="1"/>
    </xf>
    <xf numFmtId="1" fontId="22" fillId="33" borderId="13" xfId="0" applyNumberFormat="1" applyFont="1" applyFill="1" applyBorder="1" applyAlignment="1" applyProtection="1">
      <alignment horizontal="center" vertical="center" wrapText="1" readingOrder="1"/>
      <protection hidden="1"/>
    </xf>
    <xf numFmtId="1" fontId="22" fillId="33" borderId="29" xfId="0" applyNumberFormat="1" applyFont="1" applyFill="1" applyBorder="1" applyAlignment="1" applyProtection="1">
      <alignment horizontal="center" vertical="center" wrapText="1" readingOrder="1"/>
      <protection hidden="1"/>
    </xf>
    <xf numFmtId="0" fontId="5" fillId="33" borderId="51" xfId="0" applyFont="1" applyFill="1" applyBorder="1" applyAlignment="1" applyProtection="1">
      <alignment vertical="center"/>
      <protection hidden="1"/>
    </xf>
    <xf numFmtId="0" fontId="0" fillId="34" borderId="0" xfId="0" applyFont="1" applyFill="1" applyAlignment="1" applyProtection="1">
      <alignment/>
      <protection hidden="1"/>
    </xf>
    <xf numFmtId="0" fontId="4" fillId="33" borderId="56" xfId="0" applyFont="1" applyFill="1" applyBorder="1" applyAlignment="1" applyProtection="1">
      <alignment vertical="center" wrapText="1"/>
      <protection hidden="1"/>
    </xf>
    <xf numFmtId="172" fontId="1" fillId="35" borderId="57" xfId="0" applyNumberFormat="1" applyFont="1" applyFill="1" applyBorder="1" applyAlignment="1" applyProtection="1">
      <alignment horizontal="right" vertical="center"/>
      <protection hidden="1"/>
    </xf>
    <xf numFmtId="172" fontId="1" fillId="35" borderId="58" xfId="0" applyNumberFormat="1" applyFont="1" applyFill="1" applyBorder="1" applyAlignment="1" applyProtection="1">
      <alignment horizontal="right" vertical="center"/>
      <protection hidden="1"/>
    </xf>
    <xf numFmtId="172" fontId="13" fillId="33" borderId="58" xfId="0" applyNumberFormat="1" applyFont="1" applyFill="1" applyBorder="1" applyAlignment="1" applyProtection="1">
      <alignment horizontal="right" vertical="center"/>
      <protection hidden="1"/>
    </xf>
    <xf numFmtId="172" fontId="1" fillId="35" borderId="58" xfId="0" applyNumberFormat="1" applyFont="1" applyFill="1" applyBorder="1" applyAlignment="1" applyProtection="1">
      <alignment horizontal="right" vertical="center"/>
      <protection hidden="1"/>
    </xf>
    <xf numFmtId="172" fontId="1" fillId="35" borderId="58" xfId="0" applyNumberFormat="1" applyFont="1" applyFill="1" applyBorder="1" applyAlignment="1" applyProtection="1">
      <alignment horizontal="right" vertical="center"/>
      <protection hidden="1"/>
    </xf>
    <xf numFmtId="172" fontId="1" fillId="35" borderId="59" xfId="0" applyNumberFormat="1" applyFont="1" applyFill="1" applyBorder="1" applyAlignment="1" applyProtection="1">
      <alignment horizontal="right" vertical="center"/>
      <protection hidden="1"/>
    </xf>
    <xf numFmtId="172" fontId="1" fillId="35" borderId="29" xfId="0" applyNumberFormat="1" applyFont="1" applyFill="1" applyBorder="1" applyAlignment="1" applyProtection="1">
      <alignment horizontal="right" vertical="center"/>
      <protection hidden="1"/>
    </xf>
    <xf numFmtId="1" fontId="22" fillId="33" borderId="41" xfId="0" applyNumberFormat="1" applyFont="1" applyFill="1" applyBorder="1" applyAlignment="1" applyProtection="1">
      <alignment horizontal="center" vertical="center" wrapText="1" readingOrder="1"/>
      <protection hidden="1"/>
    </xf>
    <xf numFmtId="172" fontId="1" fillId="35" borderId="60" xfId="0" applyNumberFormat="1" applyFont="1" applyFill="1" applyBorder="1" applyAlignment="1" applyProtection="1">
      <alignment horizontal="right" vertical="center"/>
      <protection hidden="1"/>
    </xf>
    <xf numFmtId="172" fontId="1" fillId="35" borderId="42" xfId="0" applyNumberFormat="1" applyFont="1" applyFill="1" applyBorder="1" applyAlignment="1" applyProtection="1">
      <alignment horizontal="right" vertical="center"/>
      <protection hidden="1"/>
    </xf>
    <xf numFmtId="172" fontId="13" fillId="33" borderId="42" xfId="0" applyNumberFormat="1" applyFont="1" applyFill="1" applyBorder="1" applyAlignment="1" applyProtection="1">
      <alignment horizontal="right" vertical="center"/>
      <protection hidden="1"/>
    </xf>
    <xf numFmtId="172" fontId="1" fillId="35" borderId="42" xfId="0" applyNumberFormat="1" applyFont="1" applyFill="1" applyBorder="1" applyAlignment="1" applyProtection="1">
      <alignment horizontal="right" vertical="center"/>
      <protection hidden="1"/>
    </xf>
    <xf numFmtId="172" fontId="1" fillId="35" borderId="42" xfId="0" applyNumberFormat="1" applyFont="1" applyFill="1" applyBorder="1" applyAlignment="1" applyProtection="1">
      <alignment horizontal="right" vertical="center"/>
      <protection hidden="1"/>
    </xf>
    <xf numFmtId="172" fontId="1" fillId="35" borderId="61" xfId="0" applyNumberFormat="1" applyFont="1" applyFill="1" applyBorder="1" applyAlignment="1" applyProtection="1">
      <alignment horizontal="right" vertical="center"/>
      <protection hidden="1"/>
    </xf>
    <xf numFmtId="172" fontId="1" fillId="35" borderId="41" xfId="0" applyNumberFormat="1" applyFont="1" applyFill="1" applyBorder="1" applyAlignment="1" applyProtection="1">
      <alignment horizontal="right" vertical="center"/>
      <protection hidden="1"/>
    </xf>
    <xf numFmtId="172" fontId="1" fillId="37" borderId="29" xfId="0" applyNumberFormat="1" applyFont="1" applyFill="1" applyBorder="1" applyAlignment="1" applyProtection="1">
      <alignment horizontal="center" vertical="center"/>
      <protection hidden="1"/>
    </xf>
    <xf numFmtId="172" fontId="1" fillId="37" borderId="41" xfId="0" applyNumberFormat="1" applyFont="1" applyFill="1" applyBorder="1" applyAlignment="1" applyProtection="1">
      <alignment horizontal="center" vertical="center"/>
      <protection hidden="1"/>
    </xf>
    <xf numFmtId="172" fontId="5" fillId="33" borderId="62" xfId="0" applyNumberFormat="1" applyFont="1" applyFill="1" applyBorder="1" applyAlignment="1" applyProtection="1">
      <alignment horizontal="center" vertical="center" wrapText="1"/>
      <protection hidden="1"/>
    </xf>
    <xf numFmtId="10" fontId="1" fillId="35" borderId="31" xfId="57" applyNumberFormat="1" applyFont="1" applyFill="1" applyBorder="1" applyAlignment="1" applyProtection="1">
      <alignment horizontal="center" vertical="center"/>
      <protection hidden="1"/>
    </xf>
    <xf numFmtId="10" fontId="1" fillId="35" borderId="33" xfId="57" applyNumberFormat="1" applyFont="1" applyFill="1" applyBorder="1" applyAlignment="1" applyProtection="1">
      <alignment horizontal="center" vertical="center"/>
      <protection hidden="1"/>
    </xf>
    <xf numFmtId="10" fontId="13" fillId="33" borderId="33" xfId="57" applyNumberFormat="1" applyFont="1" applyFill="1" applyBorder="1" applyAlignment="1" applyProtection="1">
      <alignment horizontal="center" vertical="center"/>
      <protection hidden="1"/>
    </xf>
    <xf numFmtId="10" fontId="1" fillId="35" borderId="33" xfId="57" applyNumberFormat="1" applyFont="1" applyFill="1" applyBorder="1" applyAlignment="1" applyProtection="1">
      <alignment horizontal="center" vertical="center"/>
      <protection hidden="1"/>
    </xf>
    <xf numFmtId="10" fontId="1" fillId="35" borderId="33" xfId="57" applyNumberFormat="1" applyFont="1" applyFill="1" applyBorder="1" applyAlignment="1" applyProtection="1">
      <alignment horizontal="center" vertical="center"/>
      <protection hidden="1"/>
    </xf>
    <xf numFmtId="10" fontId="1" fillId="35" borderId="63" xfId="57" applyNumberFormat="1" applyFont="1" applyFill="1" applyBorder="1" applyAlignment="1" applyProtection="1">
      <alignment horizontal="center" vertical="center"/>
      <protection hidden="1"/>
    </xf>
    <xf numFmtId="10" fontId="1" fillId="35" borderId="40" xfId="57" applyNumberFormat="1" applyFont="1" applyFill="1" applyBorder="1" applyAlignment="1" applyProtection="1">
      <alignment horizontal="center" vertical="center"/>
      <protection hidden="1"/>
    </xf>
    <xf numFmtId="172" fontId="1" fillId="40" borderId="18" xfId="0" applyNumberFormat="1" applyFont="1" applyFill="1" applyBorder="1" applyAlignment="1" applyProtection="1">
      <alignment horizontal="right" vertical="center"/>
      <protection hidden="1" locked="0"/>
    </xf>
    <xf numFmtId="172" fontId="1" fillId="40" borderId="11" xfId="0" applyNumberFormat="1" applyFont="1" applyFill="1" applyBorder="1" applyAlignment="1" applyProtection="1">
      <alignment horizontal="right" vertical="center"/>
      <protection hidden="1" locked="0"/>
    </xf>
    <xf numFmtId="172" fontId="1" fillId="40" borderId="11" xfId="0" applyNumberFormat="1" applyFont="1" applyFill="1" applyBorder="1" applyAlignment="1" applyProtection="1">
      <alignment horizontal="right" vertical="center"/>
      <protection hidden="1" locked="0"/>
    </xf>
    <xf numFmtId="172" fontId="1" fillId="40" borderId="11" xfId="0" applyNumberFormat="1" applyFont="1" applyFill="1" applyBorder="1" applyAlignment="1" applyProtection="1">
      <alignment horizontal="right" vertical="center"/>
      <protection hidden="1" locked="0"/>
    </xf>
    <xf numFmtId="172" fontId="1" fillId="40" borderId="10" xfId="0" applyNumberFormat="1" applyFont="1" applyFill="1" applyBorder="1" applyAlignment="1" applyProtection="1">
      <alignment horizontal="right" vertical="center"/>
      <protection hidden="1" locked="0"/>
    </xf>
    <xf numFmtId="0" fontId="5" fillId="33" borderId="64" xfId="0" applyFont="1" applyFill="1" applyBorder="1" applyAlignment="1" applyProtection="1">
      <alignment horizontal="center" vertical="center" wrapText="1"/>
      <protection hidden="1"/>
    </xf>
    <xf numFmtId="175" fontId="1" fillId="39" borderId="57" xfId="0" applyNumberFormat="1" applyFont="1" applyFill="1" applyBorder="1" applyAlignment="1" applyProtection="1">
      <alignment horizontal="right" vertical="center"/>
      <protection hidden="1"/>
    </xf>
    <xf numFmtId="175" fontId="1" fillId="39" borderId="58" xfId="0" applyNumberFormat="1" applyFont="1" applyFill="1" applyBorder="1" applyAlignment="1" applyProtection="1">
      <alignment horizontal="right" vertical="center"/>
      <protection hidden="1"/>
    </xf>
    <xf numFmtId="175" fontId="13" fillId="34" borderId="58" xfId="0" applyNumberFormat="1" applyFont="1" applyFill="1" applyBorder="1" applyAlignment="1" applyProtection="1">
      <alignment horizontal="right" vertical="center"/>
      <protection hidden="1"/>
    </xf>
    <xf numFmtId="175" fontId="1" fillId="39" borderId="48" xfId="0" applyNumberFormat="1" applyFont="1" applyFill="1" applyBorder="1" applyAlignment="1" applyProtection="1">
      <alignment horizontal="right" vertical="center"/>
      <protection hidden="1"/>
    </xf>
    <xf numFmtId="175" fontId="1" fillId="39" borderId="65" xfId="0" applyNumberFormat="1" applyFont="1" applyFill="1" applyBorder="1" applyAlignment="1" applyProtection="1">
      <alignment horizontal="right" vertical="center"/>
      <protection hidden="1"/>
    </xf>
    <xf numFmtId="0" fontId="3" fillId="33" borderId="41" xfId="0" applyFont="1" applyFill="1" applyBorder="1" applyAlignment="1" applyProtection="1">
      <alignment horizontal="center" vertical="center"/>
      <protection hidden="1"/>
    </xf>
    <xf numFmtId="0" fontId="1" fillId="35" borderId="66" xfId="0" applyFont="1" applyFill="1" applyBorder="1" applyAlignment="1" applyProtection="1">
      <alignment horizontal="center" vertical="center"/>
      <protection hidden="1"/>
    </xf>
    <xf numFmtId="0" fontId="13" fillId="33" borderId="42" xfId="0" applyFont="1" applyFill="1" applyBorder="1" applyAlignment="1" applyProtection="1">
      <alignment horizontal="center" vertical="center"/>
      <protection hidden="1"/>
    </xf>
    <xf numFmtId="0" fontId="1" fillId="35" borderId="42" xfId="0" applyFont="1" applyFill="1" applyBorder="1" applyAlignment="1" applyProtection="1">
      <alignment horizontal="center" vertical="center"/>
      <protection hidden="1"/>
    </xf>
    <xf numFmtId="0" fontId="1" fillId="35" borderId="42" xfId="0" applyFont="1" applyFill="1" applyBorder="1" applyAlignment="1" applyProtection="1">
      <alignment horizontal="center" vertical="center"/>
      <protection hidden="1"/>
    </xf>
    <xf numFmtId="0" fontId="1" fillId="35" borderId="41" xfId="0" applyFont="1" applyFill="1" applyBorder="1" applyAlignment="1" applyProtection="1">
      <alignment horizontal="center" vertical="center"/>
      <protection hidden="1"/>
    </xf>
    <xf numFmtId="175" fontId="1" fillId="37" borderId="40" xfId="0" applyNumberFormat="1" applyFont="1" applyFill="1" applyBorder="1" applyAlignment="1" applyProtection="1">
      <alignment vertical="center"/>
      <protection hidden="1"/>
    </xf>
    <xf numFmtId="10" fontId="1" fillId="39" borderId="57" xfId="0" applyNumberFormat="1" applyFont="1" applyFill="1" applyBorder="1" applyAlignment="1" applyProtection="1">
      <alignment horizontal="right" vertical="center"/>
      <protection hidden="1"/>
    </xf>
    <xf numFmtId="10" fontId="1" fillId="39" borderId="58" xfId="0" applyNumberFormat="1" applyFont="1" applyFill="1" applyBorder="1" applyAlignment="1" applyProtection="1">
      <alignment horizontal="right" vertical="center"/>
      <protection hidden="1"/>
    </xf>
    <xf numFmtId="10" fontId="1" fillId="39" borderId="48" xfId="0" applyNumberFormat="1" applyFont="1" applyFill="1" applyBorder="1" applyAlignment="1" applyProtection="1">
      <alignment horizontal="right" vertical="center"/>
      <protection hidden="1"/>
    </xf>
    <xf numFmtId="10" fontId="1" fillId="39" borderId="65" xfId="0" applyNumberFormat="1" applyFont="1" applyFill="1" applyBorder="1" applyAlignment="1" applyProtection="1">
      <alignment horizontal="right" vertical="center"/>
      <protection hidden="1"/>
    </xf>
    <xf numFmtId="172" fontId="5" fillId="33" borderId="40" xfId="0" applyNumberFormat="1" applyFont="1" applyFill="1" applyBorder="1" applyAlignment="1" applyProtection="1">
      <alignment horizontal="center" vertical="center" wrapText="1"/>
      <protection hidden="1"/>
    </xf>
    <xf numFmtId="10" fontId="1" fillId="35" borderId="67" xfId="57" applyNumberFormat="1" applyFont="1" applyFill="1" applyBorder="1" applyAlignment="1" applyProtection="1">
      <alignment horizontal="center" vertical="center"/>
      <protection hidden="1"/>
    </xf>
    <xf numFmtId="10" fontId="13" fillId="35" borderId="33" xfId="57" applyNumberFormat="1" applyFont="1" applyFill="1" applyBorder="1" applyAlignment="1" applyProtection="1">
      <alignment horizontal="center" vertical="center"/>
      <protection hidden="1"/>
    </xf>
    <xf numFmtId="10" fontId="1" fillId="35" borderId="63" xfId="57" applyNumberFormat="1" applyFont="1" applyFill="1" applyBorder="1" applyAlignment="1" applyProtection="1">
      <alignment horizontal="center" vertical="center"/>
      <protection hidden="1"/>
    </xf>
    <xf numFmtId="10" fontId="1" fillId="35" borderId="40" xfId="57" applyNumberFormat="1" applyFont="1" applyFill="1" applyBorder="1" applyAlignment="1" applyProtection="1">
      <alignment horizontal="center" vertical="center"/>
      <protection hidden="1"/>
    </xf>
    <xf numFmtId="172" fontId="1" fillId="38" borderId="14" xfId="0" applyNumberFormat="1" applyFont="1" applyFill="1" applyBorder="1" applyAlignment="1" applyProtection="1">
      <alignment horizontal="center" vertical="center"/>
      <protection hidden="1"/>
    </xf>
    <xf numFmtId="3" fontId="1" fillId="38" borderId="27" xfId="0" applyNumberFormat="1" applyFont="1" applyFill="1" applyBorder="1" applyAlignment="1" applyProtection="1">
      <alignment horizontal="right" vertical="center"/>
      <protection hidden="1"/>
    </xf>
    <xf numFmtId="172" fontId="1" fillId="38" borderId="14" xfId="0" applyNumberFormat="1" applyFont="1" applyFill="1" applyBorder="1" applyAlignment="1" applyProtection="1">
      <alignment horizontal="center" vertical="center"/>
      <protection hidden="1"/>
    </xf>
    <xf numFmtId="0" fontId="23" fillId="33" borderId="29" xfId="0" applyFont="1" applyFill="1" applyBorder="1" applyAlignment="1" applyProtection="1">
      <alignment horizontal="right" vertical="center"/>
      <protection hidden="1"/>
    </xf>
    <xf numFmtId="0" fontId="5"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172" fontId="6" fillId="43" borderId="19" xfId="0" applyNumberFormat="1" applyFont="1" applyFill="1" applyBorder="1" applyAlignment="1" applyProtection="1">
      <alignment horizontal="center"/>
      <protection hidden="1" locked="0"/>
    </xf>
    <xf numFmtId="172" fontId="6" fillId="41" borderId="68" xfId="0" applyNumberFormat="1" applyFont="1" applyFill="1" applyBorder="1" applyAlignment="1" applyProtection="1">
      <alignment horizontal="center"/>
      <protection hidden="1"/>
    </xf>
    <xf numFmtId="172" fontId="18" fillId="42" borderId="56" xfId="0" applyNumberFormat="1" applyFont="1" applyFill="1" applyBorder="1" applyAlignment="1" applyProtection="1">
      <alignment horizontal="center" vertical="center"/>
      <protection hidden="1"/>
    </xf>
    <xf numFmtId="172" fontId="18" fillId="42" borderId="11" xfId="0" applyNumberFormat="1" applyFont="1" applyFill="1" applyBorder="1" applyAlignment="1" applyProtection="1">
      <alignment horizontal="center" vertical="center"/>
      <protection hidden="1"/>
    </xf>
    <xf numFmtId="0" fontId="6" fillId="34" borderId="0" xfId="0" applyFont="1" applyFill="1" applyBorder="1" applyAlignment="1" applyProtection="1">
      <alignment/>
      <protection hidden="1"/>
    </xf>
    <xf numFmtId="0" fontId="6" fillId="34" borderId="0" xfId="0" applyFont="1" applyFill="1" applyAlignment="1" applyProtection="1">
      <alignment/>
      <protection hidden="1"/>
    </xf>
    <xf numFmtId="9" fontId="18" fillId="40" borderId="34" xfId="0" applyNumberFormat="1" applyFont="1" applyFill="1" applyBorder="1" applyAlignment="1" applyProtection="1">
      <alignment horizontal="center" vertical="center"/>
      <protection hidden="1" locked="0"/>
    </xf>
    <xf numFmtId="9" fontId="18" fillId="40" borderId="50" xfId="0" applyNumberFormat="1" applyFont="1" applyFill="1" applyBorder="1" applyAlignment="1" applyProtection="1">
      <alignment horizontal="center" vertical="center"/>
      <protection hidden="1" locked="0"/>
    </xf>
    <xf numFmtId="9" fontId="18" fillId="40" borderId="69" xfId="0" applyNumberFormat="1" applyFont="1" applyFill="1" applyBorder="1" applyAlignment="1" applyProtection="1">
      <alignment horizontal="center" vertical="center"/>
      <protection hidden="1" locked="0"/>
    </xf>
    <xf numFmtId="9" fontId="18" fillId="40" borderId="17" xfId="0" applyNumberFormat="1" applyFont="1" applyFill="1" applyBorder="1" applyAlignment="1" applyProtection="1">
      <alignment horizontal="center" vertical="center"/>
      <protection hidden="1" locked="0"/>
    </xf>
    <xf numFmtId="9" fontId="18" fillId="40" borderId="68" xfId="0" applyNumberFormat="1" applyFont="1" applyFill="1" applyBorder="1" applyAlignment="1" applyProtection="1">
      <alignment horizontal="center" vertical="center"/>
      <protection hidden="1" locked="0"/>
    </xf>
    <xf numFmtId="9" fontId="18" fillId="40" borderId="25" xfId="0" applyNumberFormat="1" applyFont="1" applyFill="1" applyBorder="1" applyAlignment="1" applyProtection="1">
      <alignment horizontal="center" vertical="center"/>
      <protection hidden="1" locked="0"/>
    </xf>
    <xf numFmtId="9" fontId="18" fillId="40" borderId="11" xfId="0" applyNumberFormat="1" applyFont="1" applyFill="1" applyBorder="1" applyAlignment="1" applyProtection="1">
      <alignment horizontal="center" vertical="center"/>
      <protection hidden="1" locked="0"/>
    </xf>
    <xf numFmtId="9" fontId="18" fillId="40" borderId="23" xfId="0" applyNumberFormat="1" applyFont="1" applyFill="1" applyBorder="1" applyAlignment="1" applyProtection="1">
      <alignment horizontal="center" vertical="center"/>
      <protection hidden="1" locked="0"/>
    </xf>
    <xf numFmtId="9" fontId="18" fillId="40" borderId="16" xfId="0" applyNumberFormat="1" applyFont="1" applyFill="1" applyBorder="1" applyAlignment="1" applyProtection="1">
      <alignment horizontal="center" vertical="center"/>
      <protection hidden="1" locked="0"/>
    </xf>
    <xf numFmtId="0" fontId="0" fillId="0" borderId="0" xfId="0" applyFont="1" applyAlignment="1">
      <alignment/>
    </xf>
    <xf numFmtId="9" fontId="0" fillId="0" borderId="0" xfId="57" applyFont="1" applyAlignment="1">
      <alignment/>
    </xf>
    <xf numFmtId="0" fontId="0" fillId="0" borderId="0" xfId="0" applyFont="1" applyAlignment="1">
      <alignment horizontal="center"/>
    </xf>
    <xf numFmtId="0" fontId="18" fillId="33" borderId="34" xfId="0" applyFont="1" applyFill="1" applyBorder="1" applyAlignment="1" applyProtection="1">
      <alignment horizontal="center" vertical="center"/>
      <protection hidden="1"/>
    </xf>
    <xf numFmtId="0" fontId="18" fillId="33" borderId="18" xfId="0" applyFont="1" applyFill="1" applyBorder="1" applyAlignment="1" applyProtection="1">
      <alignment horizontal="center" vertical="center"/>
      <protection hidden="1"/>
    </xf>
    <xf numFmtId="0" fontId="22" fillId="0" borderId="14" xfId="0" applyFont="1" applyBorder="1" applyAlignment="1" applyProtection="1">
      <alignment horizontal="center" vertical="center"/>
      <protection hidden="1"/>
    </xf>
    <xf numFmtId="0" fontId="22" fillId="0" borderId="29" xfId="0" applyFont="1" applyBorder="1" applyAlignment="1" applyProtection="1">
      <alignment horizontal="center" vertical="center"/>
      <protection hidden="1"/>
    </xf>
    <xf numFmtId="172" fontId="18" fillId="42" borderId="11" xfId="0" applyNumberFormat="1" applyFont="1" applyFill="1" applyBorder="1" applyAlignment="1" applyProtection="1">
      <alignment horizontal="right" vertical="center"/>
      <protection hidden="1"/>
    </xf>
    <xf numFmtId="172" fontId="18" fillId="41" borderId="70" xfId="0" applyNumberFormat="1" applyFont="1" applyFill="1" applyBorder="1" applyAlignment="1" applyProtection="1">
      <alignment horizontal="right" vertical="center"/>
      <protection hidden="1"/>
    </xf>
    <xf numFmtId="172" fontId="18" fillId="42" borderId="58" xfId="0" applyNumberFormat="1" applyFont="1" applyFill="1" applyBorder="1" applyAlignment="1" applyProtection="1">
      <alignment horizontal="right" vertical="center"/>
      <protection hidden="1"/>
    </xf>
    <xf numFmtId="172" fontId="18" fillId="41" borderId="71" xfId="0" applyNumberFormat="1" applyFont="1" applyFill="1" applyBorder="1" applyAlignment="1" applyProtection="1">
      <alignment horizontal="right" vertical="center"/>
      <protection hidden="1"/>
    </xf>
    <xf numFmtId="172" fontId="18" fillId="41" borderId="72" xfId="0" applyNumberFormat="1" applyFont="1" applyFill="1" applyBorder="1" applyAlignment="1" applyProtection="1">
      <alignment horizontal="right" vertical="center"/>
      <protection hidden="1"/>
    </xf>
    <xf numFmtId="172" fontId="18" fillId="41" borderId="73" xfId="0" applyNumberFormat="1" applyFont="1" applyFill="1" applyBorder="1" applyAlignment="1" applyProtection="1">
      <alignment horizontal="right" vertical="center"/>
      <protection hidden="1"/>
    </xf>
    <xf numFmtId="172" fontId="18" fillId="42" borderId="42" xfId="0" applyNumberFormat="1" applyFont="1" applyFill="1" applyBorder="1" applyAlignment="1" applyProtection="1">
      <alignment horizontal="right" vertical="center"/>
      <protection hidden="1"/>
    </xf>
    <xf numFmtId="172" fontId="18" fillId="41" borderId="74" xfId="0" applyNumberFormat="1" applyFont="1" applyFill="1" applyBorder="1" applyAlignment="1" applyProtection="1">
      <alignment horizontal="right" vertical="center"/>
      <protection hidden="1"/>
    </xf>
    <xf numFmtId="172" fontId="18" fillId="41" borderId="75" xfId="0" applyNumberFormat="1" applyFont="1" applyFill="1" applyBorder="1" applyAlignment="1" applyProtection="1">
      <alignment horizontal="right" vertical="center"/>
      <protection hidden="1"/>
    </xf>
    <xf numFmtId="172" fontId="18" fillId="41" borderId="69" xfId="0" applyNumberFormat="1" applyFont="1" applyFill="1" applyBorder="1" applyAlignment="1" applyProtection="1">
      <alignment horizontal="right" vertical="center"/>
      <protection hidden="1"/>
    </xf>
    <xf numFmtId="172" fontId="18" fillId="41" borderId="76" xfId="0" applyNumberFormat="1" applyFont="1" applyFill="1" applyBorder="1" applyAlignment="1" applyProtection="1">
      <alignment horizontal="right" vertical="center"/>
      <protection hidden="1"/>
    </xf>
    <xf numFmtId="0" fontId="22" fillId="0" borderId="27" xfId="0" applyFont="1" applyBorder="1" applyAlignment="1" applyProtection="1">
      <alignment horizontal="center" vertical="center"/>
      <protection hidden="1"/>
    </xf>
    <xf numFmtId="0" fontId="22" fillId="0" borderId="41" xfId="0" applyFont="1" applyBorder="1" applyAlignment="1" applyProtection="1">
      <alignment horizontal="center" vertical="center"/>
      <protection hidden="1"/>
    </xf>
    <xf numFmtId="0" fontId="71" fillId="34" borderId="0" xfId="0" applyFont="1" applyFill="1" applyBorder="1" applyAlignment="1" applyProtection="1">
      <alignment horizontal="center"/>
      <protection hidden="1"/>
    </xf>
    <xf numFmtId="0" fontId="71" fillId="34" borderId="0" xfId="0" applyFont="1" applyFill="1" applyBorder="1" applyAlignment="1" applyProtection="1">
      <alignment/>
      <protection hidden="1"/>
    </xf>
    <xf numFmtId="0" fontId="71" fillId="34" borderId="0" xfId="0" applyFont="1" applyFill="1" applyAlignment="1" applyProtection="1">
      <alignment/>
      <protection hidden="1"/>
    </xf>
    <xf numFmtId="172" fontId="71" fillId="34" borderId="0" xfId="0" applyNumberFormat="1" applyFont="1" applyFill="1" applyAlignment="1" applyProtection="1">
      <alignment/>
      <protection hidden="1"/>
    </xf>
    <xf numFmtId="0" fontId="71" fillId="34" borderId="0" xfId="0" applyFont="1" applyFill="1" applyAlignment="1" applyProtection="1">
      <alignment horizontal="center"/>
      <protection hidden="1"/>
    </xf>
    <xf numFmtId="0" fontId="18" fillId="33" borderId="45" xfId="0" applyFont="1" applyFill="1" applyBorder="1" applyAlignment="1" applyProtection="1">
      <alignment vertical="center"/>
      <protection hidden="1"/>
    </xf>
    <xf numFmtId="0" fontId="18" fillId="33" borderId="16" xfId="0" applyFont="1" applyFill="1" applyBorder="1" applyAlignment="1" applyProtection="1">
      <alignment vertical="center"/>
      <protection hidden="1"/>
    </xf>
    <xf numFmtId="0" fontId="18" fillId="33" borderId="58" xfId="0" applyFont="1" applyFill="1" applyBorder="1" applyAlignment="1" applyProtection="1">
      <alignment vertical="center"/>
      <protection hidden="1"/>
    </xf>
    <xf numFmtId="0" fontId="18" fillId="33" borderId="69" xfId="0" applyFont="1" applyFill="1" applyBorder="1" applyAlignment="1" applyProtection="1">
      <alignment vertical="center"/>
      <protection hidden="1"/>
    </xf>
    <xf numFmtId="0" fontId="18" fillId="33" borderId="48" xfId="0" applyFont="1" applyFill="1" applyBorder="1" applyAlignment="1" applyProtection="1">
      <alignment vertical="center"/>
      <protection hidden="1"/>
    </xf>
    <xf numFmtId="0" fontId="18" fillId="33" borderId="19" xfId="0" applyFont="1" applyFill="1" applyBorder="1" applyAlignment="1" applyProtection="1">
      <alignment horizontal="center" vertical="center"/>
      <protection hidden="1"/>
    </xf>
    <xf numFmtId="172" fontId="18" fillId="41" borderId="50" xfId="0" applyNumberFormat="1" applyFont="1" applyFill="1" applyBorder="1" applyAlignment="1" applyProtection="1">
      <alignment horizontal="right" vertical="center"/>
      <protection hidden="1"/>
    </xf>
    <xf numFmtId="0" fontId="18" fillId="33" borderId="30" xfId="0" applyFont="1" applyFill="1" applyBorder="1" applyAlignment="1" applyProtection="1">
      <alignment vertical="center"/>
      <protection hidden="1"/>
    </xf>
    <xf numFmtId="0" fontId="18" fillId="33" borderId="57" xfId="0" applyFont="1" applyFill="1" applyBorder="1" applyAlignment="1" applyProtection="1">
      <alignment vertical="center"/>
      <protection hidden="1"/>
    </xf>
    <xf numFmtId="0" fontId="18" fillId="33" borderId="32" xfId="0" applyFont="1" applyFill="1" applyBorder="1" applyAlignment="1" applyProtection="1">
      <alignment vertical="center"/>
      <protection hidden="1"/>
    </xf>
    <xf numFmtId="0" fontId="18" fillId="33" borderId="32" xfId="0" applyFont="1" applyFill="1" applyBorder="1" applyAlignment="1" applyProtection="1">
      <alignment vertical="center"/>
      <protection hidden="1"/>
    </xf>
    <xf numFmtId="0" fontId="18" fillId="33" borderId="16" xfId="0" applyFont="1" applyFill="1" applyBorder="1" applyAlignment="1" applyProtection="1">
      <alignment vertical="center"/>
      <protection hidden="1"/>
    </xf>
    <xf numFmtId="0" fontId="18" fillId="33" borderId="58" xfId="0" applyFont="1" applyFill="1" applyBorder="1" applyAlignment="1" applyProtection="1">
      <alignment vertical="center"/>
      <protection hidden="1"/>
    </xf>
    <xf numFmtId="0" fontId="18" fillId="33" borderId="35" xfId="0" applyFont="1" applyFill="1" applyBorder="1" applyAlignment="1" applyProtection="1">
      <alignment vertical="center"/>
      <protection hidden="1"/>
    </xf>
    <xf numFmtId="9" fontId="18" fillId="0" borderId="25" xfId="0" applyNumberFormat="1" applyFont="1" applyBorder="1" applyAlignment="1" applyProtection="1">
      <alignment horizontal="center"/>
      <protection hidden="1"/>
    </xf>
    <xf numFmtId="9" fontId="18" fillId="0" borderId="16" xfId="0" applyNumberFormat="1" applyFont="1" applyBorder="1" applyAlignment="1" applyProtection="1">
      <alignment horizontal="center"/>
      <protection hidden="1"/>
    </xf>
    <xf numFmtId="9" fontId="18" fillId="0" borderId="69" xfId="0" applyNumberFormat="1" applyFont="1" applyBorder="1" applyAlignment="1" applyProtection="1">
      <alignment horizontal="center"/>
      <protection hidden="1"/>
    </xf>
    <xf numFmtId="0" fontId="21" fillId="33" borderId="14" xfId="0" applyFont="1" applyFill="1" applyBorder="1" applyAlignment="1" applyProtection="1">
      <alignment horizontal="center" vertical="center"/>
      <protection hidden="1"/>
    </xf>
    <xf numFmtId="0" fontId="21" fillId="33" borderId="10" xfId="0" applyFont="1" applyFill="1" applyBorder="1" applyAlignment="1" applyProtection="1">
      <alignment horizontal="center" vertical="center"/>
      <protection hidden="1"/>
    </xf>
    <xf numFmtId="0" fontId="21" fillId="33" borderId="27" xfId="0" applyFont="1" applyFill="1" applyBorder="1" applyAlignment="1" applyProtection="1">
      <alignment horizontal="center" vertical="center" wrapText="1"/>
      <protection hidden="1"/>
    </xf>
    <xf numFmtId="172" fontId="6" fillId="41" borderId="57" xfId="0" applyNumberFormat="1" applyFont="1" applyFill="1" applyBorder="1" applyAlignment="1" applyProtection="1">
      <alignment horizontal="center"/>
      <protection hidden="1"/>
    </xf>
    <xf numFmtId="172" fontId="18" fillId="42" borderId="58" xfId="0" applyNumberFormat="1" applyFont="1" applyFill="1" applyBorder="1" applyAlignment="1" applyProtection="1">
      <alignment horizontal="center" vertical="center"/>
      <protection hidden="1"/>
    </xf>
    <xf numFmtId="172" fontId="18" fillId="42" borderId="59" xfId="0" applyNumberFormat="1" applyFont="1" applyFill="1" applyBorder="1" applyAlignment="1" applyProtection="1">
      <alignment horizontal="center" vertical="center"/>
      <protection hidden="1"/>
    </xf>
    <xf numFmtId="172" fontId="6" fillId="43" borderId="65" xfId="0" applyNumberFormat="1" applyFont="1" applyFill="1" applyBorder="1" applyAlignment="1" applyProtection="1">
      <alignment horizontal="center"/>
      <protection hidden="1" locked="0"/>
    </xf>
    <xf numFmtId="172" fontId="18" fillId="42" borderId="55" xfId="0" applyNumberFormat="1" applyFont="1" applyFill="1" applyBorder="1" applyAlignment="1" applyProtection="1">
      <alignment horizontal="center" vertical="center"/>
      <protection hidden="1"/>
    </xf>
    <xf numFmtId="172" fontId="6" fillId="41" borderId="60" xfId="0" applyNumberFormat="1" applyFont="1" applyFill="1" applyBorder="1" applyAlignment="1" applyProtection="1">
      <alignment horizontal="center"/>
      <protection hidden="1"/>
    </xf>
    <xf numFmtId="172" fontId="18" fillId="42" borderId="42" xfId="0" applyNumberFormat="1" applyFont="1" applyFill="1" applyBorder="1" applyAlignment="1" applyProtection="1">
      <alignment horizontal="center" vertical="center"/>
      <protection hidden="1"/>
    </xf>
    <xf numFmtId="172" fontId="18" fillId="42" borderId="61" xfId="0" applyNumberFormat="1" applyFont="1" applyFill="1" applyBorder="1" applyAlignment="1" applyProtection="1">
      <alignment horizontal="center" vertical="center"/>
      <protection hidden="1"/>
    </xf>
    <xf numFmtId="172" fontId="6" fillId="43" borderId="77" xfId="0" applyNumberFormat="1" applyFont="1" applyFill="1" applyBorder="1" applyAlignment="1" applyProtection="1">
      <alignment horizontal="center"/>
      <protection hidden="1" locked="0"/>
    </xf>
    <xf numFmtId="172" fontId="18" fillId="42" borderId="78" xfId="0" applyNumberFormat="1" applyFont="1" applyFill="1" applyBorder="1" applyAlignment="1" applyProtection="1">
      <alignment horizontal="center" vertical="center"/>
      <protection hidden="1"/>
    </xf>
    <xf numFmtId="0" fontId="1" fillId="33" borderId="14" xfId="0" applyFont="1" applyFill="1" applyBorder="1" applyAlignment="1" applyProtection="1">
      <alignment wrapText="1"/>
      <protection hidden="1"/>
    </xf>
    <xf numFmtId="0" fontId="4" fillId="33" borderId="29" xfId="0" applyFont="1" applyFill="1" applyBorder="1" applyAlignment="1" applyProtection="1">
      <alignment horizontal="right" vertical="center"/>
      <protection hidden="1"/>
    </xf>
    <xf numFmtId="0" fontId="21" fillId="0" borderId="44" xfId="0" applyFont="1" applyBorder="1" applyAlignment="1" applyProtection="1">
      <alignment/>
      <protection hidden="1"/>
    </xf>
    <xf numFmtId="0" fontId="21" fillId="0" borderId="23" xfId="0" applyFont="1" applyBorder="1" applyAlignment="1" applyProtection="1">
      <alignment/>
      <protection hidden="1"/>
    </xf>
    <xf numFmtId="0" fontId="21" fillId="33" borderId="44" xfId="0" applyFont="1" applyFill="1" applyBorder="1" applyAlignment="1" applyProtection="1">
      <alignment vertical="center"/>
      <protection hidden="1"/>
    </xf>
    <xf numFmtId="0" fontId="21" fillId="33" borderId="50" xfId="0" applyFont="1" applyFill="1" applyBorder="1" applyAlignment="1" applyProtection="1">
      <alignment vertical="center"/>
      <protection hidden="1"/>
    </xf>
    <xf numFmtId="0" fontId="18" fillId="33" borderId="37" xfId="0" applyFont="1" applyFill="1" applyBorder="1" applyAlignment="1" applyProtection="1">
      <alignment vertical="center"/>
      <protection hidden="1"/>
    </xf>
    <xf numFmtId="0" fontId="18" fillId="33" borderId="28" xfId="0" applyFont="1" applyFill="1" applyBorder="1" applyAlignment="1" applyProtection="1">
      <alignment vertical="center"/>
      <protection hidden="1"/>
    </xf>
    <xf numFmtId="0" fontId="18" fillId="33" borderId="65" xfId="0" applyFont="1" applyFill="1" applyBorder="1" applyAlignment="1" applyProtection="1">
      <alignment vertical="center"/>
      <protection hidden="1"/>
    </xf>
    <xf numFmtId="172" fontId="18" fillId="41" borderId="24" xfId="0" applyNumberFormat="1" applyFont="1" applyFill="1" applyBorder="1" applyAlignment="1" applyProtection="1">
      <alignment horizontal="right" vertical="center"/>
      <protection hidden="1"/>
    </xf>
    <xf numFmtId="172" fontId="18" fillId="41" borderId="77" xfId="0" applyNumberFormat="1" applyFont="1" applyFill="1" applyBorder="1" applyAlignment="1" applyProtection="1">
      <alignment horizontal="right" vertical="center"/>
      <protection hidden="1"/>
    </xf>
    <xf numFmtId="172" fontId="18" fillId="41" borderId="65" xfId="0" applyNumberFormat="1" applyFont="1" applyFill="1" applyBorder="1" applyAlignment="1" applyProtection="1">
      <alignment horizontal="right" vertical="center"/>
      <protection hidden="1"/>
    </xf>
    <xf numFmtId="0" fontId="18" fillId="33" borderId="30" xfId="0" applyFont="1" applyFill="1" applyBorder="1" applyAlignment="1" applyProtection="1">
      <alignment vertical="center"/>
      <protection hidden="1"/>
    </xf>
    <xf numFmtId="0" fontId="18" fillId="33" borderId="45" xfId="0" applyFont="1" applyFill="1" applyBorder="1" applyAlignment="1" applyProtection="1">
      <alignment vertical="center"/>
      <protection hidden="1"/>
    </xf>
    <xf numFmtId="0" fontId="18" fillId="33" borderId="57" xfId="0" applyFont="1" applyFill="1" applyBorder="1" applyAlignment="1" applyProtection="1">
      <alignment vertical="center"/>
      <protection hidden="1"/>
    </xf>
    <xf numFmtId="172" fontId="18" fillId="41" borderId="79" xfId="0" applyNumberFormat="1" applyFont="1" applyFill="1" applyBorder="1" applyAlignment="1" applyProtection="1">
      <alignment horizontal="right" vertical="center"/>
      <protection hidden="1"/>
    </xf>
    <xf numFmtId="172" fontId="18" fillId="41" borderId="80" xfId="0" applyNumberFormat="1" applyFont="1" applyFill="1" applyBorder="1" applyAlignment="1" applyProtection="1">
      <alignment horizontal="right" vertical="center"/>
      <protection hidden="1"/>
    </xf>
    <xf numFmtId="172" fontId="18" fillId="41" borderId="81" xfId="0" applyNumberFormat="1" applyFont="1" applyFill="1" applyBorder="1" applyAlignment="1" applyProtection="1">
      <alignment horizontal="right" vertical="center"/>
      <protection hidden="1"/>
    </xf>
    <xf numFmtId="172" fontId="18" fillId="41" borderId="82" xfId="0" applyNumberFormat="1" applyFont="1" applyFill="1" applyBorder="1" applyAlignment="1" applyProtection="1">
      <alignment horizontal="right" vertical="center"/>
      <protection hidden="1"/>
    </xf>
    <xf numFmtId="0" fontId="21" fillId="33" borderId="24" xfId="0" applyFont="1" applyFill="1" applyBorder="1" applyAlignment="1" applyProtection="1">
      <alignment vertical="center"/>
      <protection hidden="1"/>
    </xf>
    <xf numFmtId="9" fontId="18" fillId="0" borderId="28" xfId="0" applyNumberFormat="1" applyFont="1" applyBorder="1" applyAlignment="1" applyProtection="1">
      <alignment horizontal="center"/>
      <protection hidden="1"/>
    </xf>
    <xf numFmtId="9" fontId="18" fillId="33" borderId="19" xfId="0" applyNumberFormat="1" applyFont="1" applyFill="1" applyBorder="1" applyAlignment="1" applyProtection="1">
      <alignment horizontal="center" vertical="center"/>
      <protection hidden="1"/>
    </xf>
    <xf numFmtId="9" fontId="18" fillId="33" borderId="24" xfId="0" applyNumberFormat="1" applyFont="1" applyFill="1" applyBorder="1" applyAlignment="1" applyProtection="1">
      <alignment horizontal="center" vertical="center"/>
      <protection hidden="1"/>
    </xf>
    <xf numFmtId="9" fontId="18" fillId="33" borderId="28" xfId="0" applyNumberFormat="1" applyFont="1" applyFill="1" applyBorder="1" applyAlignment="1" applyProtection="1">
      <alignment horizontal="center" vertical="center"/>
      <protection hidden="1"/>
    </xf>
    <xf numFmtId="172" fontId="6" fillId="41" borderId="24" xfId="0" applyNumberFormat="1" applyFont="1" applyFill="1" applyBorder="1" applyAlignment="1" applyProtection="1">
      <alignment horizontal="center"/>
      <protection hidden="1"/>
    </xf>
    <xf numFmtId="0" fontId="21" fillId="33" borderId="23" xfId="0" applyFont="1" applyFill="1" applyBorder="1" applyAlignment="1" applyProtection="1">
      <alignment vertical="center"/>
      <protection hidden="1"/>
    </xf>
    <xf numFmtId="0" fontId="21" fillId="33" borderId="68" xfId="0" applyFont="1" applyFill="1" applyBorder="1" applyAlignment="1" applyProtection="1">
      <alignment vertical="center"/>
      <protection hidden="1"/>
    </xf>
    <xf numFmtId="172" fontId="6" fillId="43" borderId="17" xfId="0" applyNumberFormat="1" applyFont="1" applyFill="1" applyBorder="1" applyAlignment="1" applyProtection="1">
      <alignment horizontal="center"/>
      <protection hidden="1" locked="0"/>
    </xf>
    <xf numFmtId="172" fontId="6" fillId="43" borderId="66" xfId="0" applyNumberFormat="1" applyFont="1" applyFill="1" applyBorder="1" applyAlignment="1" applyProtection="1">
      <alignment horizontal="center"/>
      <protection hidden="1" locked="0"/>
    </xf>
    <xf numFmtId="172" fontId="6" fillId="43" borderId="83" xfId="0" applyNumberFormat="1" applyFont="1" applyFill="1" applyBorder="1" applyAlignment="1" applyProtection="1">
      <alignment horizontal="center"/>
      <protection hidden="1" locked="0"/>
    </xf>
    <xf numFmtId="2" fontId="1" fillId="37" borderId="14" xfId="0" applyNumberFormat="1" applyFont="1" applyFill="1" applyBorder="1" applyAlignment="1" applyProtection="1">
      <alignment horizontal="center" vertical="center"/>
      <protection hidden="1"/>
    </xf>
    <xf numFmtId="0" fontId="6" fillId="34" borderId="45" xfId="0" applyFont="1" applyFill="1" applyBorder="1" applyAlignment="1" applyProtection="1">
      <alignment horizontal="center"/>
      <protection hidden="1"/>
    </xf>
    <xf numFmtId="0" fontId="24" fillId="34" borderId="10" xfId="0" applyFont="1" applyFill="1" applyBorder="1" applyAlignment="1" applyProtection="1">
      <alignment horizontal="right" vertical="center"/>
      <protection hidden="1"/>
    </xf>
    <xf numFmtId="0" fontId="24" fillId="34" borderId="14" xfId="0" applyFont="1" applyFill="1" applyBorder="1" applyAlignment="1" applyProtection="1">
      <alignment horizontal="right" vertical="center"/>
      <protection hidden="1"/>
    </xf>
    <xf numFmtId="0" fontId="24" fillId="34" borderId="29" xfId="0" applyFont="1" applyFill="1" applyBorder="1" applyAlignment="1" applyProtection="1">
      <alignment horizontal="right" vertical="center"/>
      <protection hidden="1"/>
    </xf>
    <xf numFmtId="0" fontId="6" fillId="34" borderId="32" xfId="0" applyFont="1" applyFill="1" applyBorder="1" applyAlignment="1" applyProtection="1">
      <alignment horizontal="left" vertical="top" wrapText="1"/>
      <protection hidden="1"/>
    </xf>
    <xf numFmtId="0" fontId="6" fillId="34" borderId="16" xfId="0" applyFont="1" applyFill="1" applyBorder="1" applyAlignment="1" applyProtection="1">
      <alignment horizontal="left" vertical="top" wrapText="1"/>
      <protection hidden="1"/>
    </xf>
    <xf numFmtId="0" fontId="6" fillId="34" borderId="84" xfId="0" applyFont="1" applyFill="1" applyBorder="1" applyAlignment="1" applyProtection="1">
      <alignment horizontal="left" vertical="top" wrapText="1"/>
      <protection hidden="1"/>
    </xf>
    <xf numFmtId="0" fontId="6" fillId="43" borderId="32" xfId="0" applyFont="1" applyFill="1" applyBorder="1" applyAlignment="1" applyProtection="1">
      <alignment horizontal="left" vertical="top" wrapText="1"/>
      <protection hidden="1"/>
    </xf>
    <xf numFmtId="0" fontId="6" fillId="43" borderId="16" xfId="0" applyFont="1" applyFill="1" applyBorder="1" applyAlignment="1" applyProtection="1">
      <alignment horizontal="left" vertical="top" wrapText="1"/>
      <protection hidden="1"/>
    </xf>
    <xf numFmtId="0" fontId="6" fillId="43" borderId="84" xfId="0" applyFont="1" applyFill="1" applyBorder="1" applyAlignment="1" applyProtection="1">
      <alignment horizontal="left" vertical="top" wrapText="1"/>
      <protection hidden="1"/>
    </xf>
    <xf numFmtId="0" fontId="18" fillId="34" borderId="42" xfId="0" applyFont="1" applyFill="1" applyBorder="1" applyAlignment="1" applyProtection="1">
      <alignment horizontal="left" vertical="top" wrapText="1"/>
      <protection hidden="1"/>
    </xf>
    <xf numFmtId="0" fontId="0" fillId="34" borderId="45" xfId="0" applyFill="1" applyBorder="1" applyAlignment="1" applyProtection="1">
      <alignment horizontal="left"/>
      <protection hidden="1"/>
    </xf>
    <xf numFmtId="0" fontId="23" fillId="33" borderId="10" xfId="0" applyFont="1" applyFill="1" applyBorder="1" applyAlignment="1" applyProtection="1">
      <alignment horizontal="right" vertical="center"/>
      <protection hidden="1"/>
    </xf>
    <xf numFmtId="0" fontId="23" fillId="33" borderId="14" xfId="0" applyFont="1" applyFill="1" applyBorder="1" applyAlignment="1" applyProtection="1">
      <alignment horizontal="right" vertical="center"/>
      <protection hidden="1"/>
    </xf>
    <xf numFmtId="0" fontId="23" fillId="33" borderId="29" xfId="0" applyFont="1" applyFill="1" applyBorder="1" applyAlignment="1" applyProtection="1">
      <alignment horizontal="right" vertical="center"/>
      <protection hidden="1"/>
    </xf>
    <xf numFmtId="0" fontId="18" fillId="34" borderId="42" xfId="0" applyFont="1" applyFill="1" applyBorder="1" applyAlignment="1" applyProtection="1">
      <alignment horizontal="left" vertical="top" wrapText="1"/>
      <protection hidden="1"/>
    </xf>
    <xf numFmtId="0" fontId="3" fillId="44" borderId="13" xfId="0" applyFont="1" applyFill="1" applyBorder="1" applyAlignment="1" applyProtection="1">
      <alignment horizontal="center" vertical="center"/>
      <protection hidden="1"/>
    </xf>
    <xf numFmtId="0" fontId="3" fillId="44" borderId="19" xfId="0" applyFont="1" applyFill="1" applyBorder="1" applyAlignment="1" applyProtection="1">
      <alignment horizontal="center" vertical="center"/>
      <protection hidden="1"/>
    </xf>
    <xf numFmtId="0" fontId="1" fillId="40" borderId="13" xfId="0" applyFont="1" applyFill="1" applyBorder="1" applyAlignment="1" applyProtection="1">
      <alignment horizontal="center" vertical="center"/>
      <protection hidden="1" locked="0"/>
    </xf>
    <xf numFmtId="0" fontId="1" fillId="40" borderId="51" xfId="0" applyFont="1" applyFill="1" applyBorder="1" applyAlignment="1" applyProtection="1">
      <alignment horizontal="center" vertical="center"/>
      <protection hidden="1" locked="0"/>
    </xf>
    <xf numFmtId="0" fontId="1" fillId="40" borderId="64" xfId="0" applyFont="1" applyFill="1" applyBorder="1" applyAlignment="1" applyProtection="1">
      <alignment horizontal="center" vertical="center"/>
      <protection hidden="1" locked="0"/>
    </xf>
    <xf numFmtId="0" fontId="1" fillId="40" borderId="19" xfId="0" applyFont="1" applyFill="1" applyBorder="1" applyAlignment="1" applyProtection="1">
      <alignment horizontal="center" vertical="center"/>
      <protection hidden="1" locked="0"/>
    </xf>
    <xf numFmtId="0" fontId="1" fillId="40" borderId="28" xfId="0" applyFont="1" applyFill="1" applyBorder="1" applyAlignment="1" applyProtection="1">
      <alignment horizontal="center" vertical="center"/>
      <protection hidden="1" locked="0"/>
    </xf>
    <xf numFmtId="0" fontId="1" fillId="40" borderId="65" xfId="0" applyFont="1" applyFill="1" applyBorder="1" applyAlignment="1" applyProtection="1">
      <alignment horizontal="center" vertical="center"/>
      <protection hidden="1" locked="0"/>
    </xf>
    <xf numFmtId="0" fontId="1" fillId="33" borderId="34" xfId="0" applyFont="1" applyFill="1" applyBorder="1" applyAlignment="1" applyProtection="1">
      <alignment horizontal="left" vertical="center"/>
      <protection hidden="1"/>
    </xf>
    <xf numFmtId="0" fontId="1" fillId="33" borderId="69" xfId="0" applyFont="1" applyFill="1" applyBorder="1" applyAlignment="1" applyProtection="1">
      <alignment horizontal="left" vertical="center"/>
      <protection hidden="1"/>
    </xf>
    <xf numFmtId="0" fontId="1" fillId="33" borderId="48" xfId="0" applyFont="1" applyFill="1" applyBorder="1" applyAlignment="1" applyProtection="1">
      <alignment horizontal="left" vertical="center"/>
      <protection hidden="1"/>
    </xf>
    <xf numFmtId="0" fontId="1" fillId="33" borderId="11" xfId="0" applyFont="1" applyFill="1" applyBorder="1" applyAlignment="1" applyProtection="1">
      <alignment horizontal="left" vertical="center"/>
      <protection hidden="1"/>
    </xf>
    <xf numFmtId="0" fontId="1" fillId="33" borderId="16" xfId="0" applyFont="1" applyFill="1" applyBorder="1" applyAlignment="1" applyProtection="1">
      <alignment horizontal="left" vertical="center"/>
      <protection hidden="1"/>
    </xf>
    <xf numFmtId="0" fontId="1" fillId="33" borderId="58" xfId="0" applyFont="1" applyFill="1" applyBorder="1" applyAlignment="1" applyProtection="1">
      <alignment horizontal="left" vertical="center"/>
      <protection hidden="1"/>
    </xf>
    <xf numFmtId="0" fontId="3" fillId="44" borderId="13" xfId="0" applyFont="1" applyFill="1" applyBorder="1" applyAlignment="1" applyProtection="1">
      <alignment horizontal="center" vertical="center" wrapText="1"/>
      <protection hidden="1"/>
    </xf>
    <xf numFmtId="0" fontId="3" fillId="44" borderId="51" xfId="0" applyFont="1" applyFill="1" applyBorder="1" applyAlignment="1" applyProtection="1">
      <alignment horizontal="center" vertical="center" wrapText="1"/>
      <protection hidden="1"/>
    </xf>
    <xf numFmtId="0" fontId="3" fillId="44" borderId="64" xfId="0" applyFont="1" applyFill="1" applyBorder="1" applyAlignment="1" applyProtection="1">
      <alignment horizontal="center" vertical="center" wrapText="1"/>
      <protection hidden="1"/>
    </xf>
    <xf numFmtId="0" fontId="3" fillId="44" borderId="19" xfId="0" applyFont="1" applyFill="1" applyBorder="1" applyAlignment="1" applyProtection="1">
      <alignment horizontal="center" vertical="center" wrapText="1"/>
      <protection hidden="1"/>
    </xf>
    <xf numFmtId="0" fontId="3" fillId="44" borderId="28" xfId="0" applyFont="1" applyFill="1" applyBorder="1" applyAlignment="1" applyProtection="1">
      <alignment horizontal="center" vertical="center" wrapText="1"/>
      <protection hidden="1"/>
    </xf>
    <xf numFmtId="0" fontId="3" fillId="44" borderId="65" xfId="0" applyFont="1" applyFill="1" applyBorder="1" applyAlignment="1" applyProtection="1">
      <alignment horizontal="center" vertical="center" wrapText="1"/>
      <protection hidden="1"/>
    </xf>
    <xf numFmtId="0" fontId="1" fillId="37" borderId="10" xfId="0" applyFont="1" applyFill="1" applyBorder="1" applyAlignment="1" applyProtection="1">
      <alignment horizontal="right" vertical="center"/>
      <protection hidden="1"/>
    </xf>
    <xf numFmtId="0" fontId="1" fillId="37" borderId="14" xfId="0" applyFont="1" applyFill="1" applyBorder="1" applyAlignment="1" applyProtection="1">
      <alignment horizontal="right" vertical="center"/>
      <protection hidden="1"/>
    </xf>
    <xf numFmtId="0" fontId="1" fillId="33" borderId="18" xfId="0" applyFont="1" applyFill="1" applyBorder="1" applyAlignment="1" applyProtection="1">
      <alignment horizontal="left" vertical="center"/>
      <protection hidden="1"/>
    </xf>
    <xf numFmtId="0" fontId="1" fillId="33" borderId="45" xfId="0" applyFont="1" applyFill="1" applyBorder="1" applyAlignment="1" applyProtection="1">
      <alignment horizontal="left" vertical="center"/>
      <protection hidden="1"/>
    </xf>
    <xf numFmtId="0" fontId="1" fillId="33" borderId="57" xfId="0" applyFont="1" applyFill="1" applyBorder="1" applyAlignment="1" applyProtection="1">
      <alignment horizontal="left" vertical="center"/>
      <protection hidden="1"/>
    </xf>
    <xf numFmtId="0" fontId="1" fillId="40" borderId="10" xfId="0" applyFont="1" applyFill="1" applyBorder="1" applyAlignment="1" applyProtection="1">
      <alignment horizontal="center" vertical="center"/>
      <protection hidden="1"/>
    </xf>
    <xf numFmtId="0" fontId="1" fillId="40" borderId="14" xfId="0" applyFont="1" applyFill="1" applyBorder="1" applyAlignment="1" applyProtection="1">
      <alignment horizontal="center" vertical="center"/>
      <protection hidden="1"/>
    </xf>
    <xf numFmtId="0" fontId="1" fillId="40" borderId="29" xfId="0" applyFont="1" applyFill="1" applyBorder="1" applyAlignment="1" applyProtection="1">
      <alignment horizontal="center" vertical="center"/>
      <protection hidden="1"/>
    </xf>
    <xf numFmtId="0" fontId="1" fillId="40" borderId="11" xfId="0" applyFont="1" applyFill="1" applyBorder="1" applyAlignment="1" applyProtection="1">
      <alignment horizontal="left" vertical="center"/>
      <protection hidden="1" locked="0"/>
    </xf>
    <xf numFmtId="0" fontId="1" fillId="40" borderId="16" xfId="0" applyFont="1" applyFill="1" applyBorder="1" applyAlignment="1" applyProtection="1">
      <alignment horizontal="left" vertical="center"/>
      <protection hidden="1" locked="0"/>
    </xf>
    <xf numFmtId="0" fontId="1" fillId="40" borderId="58" xfId="0" applyFont="1" applyFill="1" applyBorder="1" applyAlignment="1" applyProtection="1">
      <alignment horizontal="left" vertical="center"/>
      <protection hidden="1" locked="0"/>
    </xf>
    <xf numFmtId="0" fontId="13" fillId="33" borderId="11" xfId="0" applyFont="1" applyFill="1" applyBorder="1" applyAlignment="1" applyProtection="1" quotePrefix="1">
      <alignment horizontal="left" vertical="center"/>
      <protection hidden="1"/>
    </xf>
    <xf numFmtId="0" fontId="13" fillId="33" borderId="16" xfId="0" applyFont="1" applyFill="1" applyBorder="1" applyAlignment="1" applyProtection="1" quotePrefix="1">
      <alignment horizontal="left" vertical="center"/>
      <protection hidden="1"/>
    </xf>
    <xf numFmtId="0" fontId="13" fillId="33" borderId="58" xfId="0" applyFont="1" applyFill="1" applyBorder="1" applyAlignment="1" applyProtection="1" quotePrefix="1">
      <alignment horizontal="left" vertical="center"/>
      <protection hidden="1"/>
    </xf>
    <xf numFmtId="0" fontId="1" fillId="40" borderId="10" xfId="0" applyFont="1" applyFill="1" applyBorder="1" applyAlignment="1" applyProtection="1">
      <alignment horizontal="left" vertical="center"/>
      <protection hidden="1" locked="0"/>
    </xf>
    <xf numFmtId="0" fontId="1" fillId="40" borderId="14" xfId="0" applyFont="1" applyFill="1" applyBorder="1" applyAlignment="1" applyProtection="1">
      <alignment horizontal="left" vertical="center"/>
      <protection hidden="1" locked="0"/>
    </xf>
    <xf numFmtId="0" fontId="1" fillId="40" borderId="29" xfId="0" applyFont="1" applyFill="1" applyBorder="1" applyAlignment="1" applyProtection="1">
      <alignment horizontal="left" vertical="center"/>
      <protection hidden="1" locked="0"/>
    </xf>
    <xf numFmtId="0" fontId="1" fillId="33" borderId="16" xfId="0" applyFont="1" applyFill="1" applyBorder="1" applyAlignment="1" applyProtection="1">
      <alignment horizontal="left" vertical="center"/>
      <protection hidden="1"/>
    </xf>
    <xf numFmtId="0" fontId="1" fillId="33" borderId="58" xfId="0" applyFont="1" applyFill="1" applyBorder="1" applyAlignment="1" applyProtection="1">
      <alignment horizontal="left" vertical="center"/>
      <protection hidden="1"/>
    </xf>
    <xf numFmtId="0" fontId="3" fillId="33" borderId="10" xfId="0" applyFont="1" applyFill="1" applyBorder="1" applyAlignment="1" applyProtection="1">
      <alignment horizontal="center" vertical="center" wrapText="1"/>
      <protection hidden="1"/>
    </xf>
    <xf numFmtId="0" fontId="3" fillId="33" borderId="14" xfId="0" applyFont="1" applyFill="1" applyBorder="1" applyAlignment="1" applyProtection="1">
      <alignment horizontal="center" vertical="center" wrapText="1"/>
      <protection hidden="1"/>
    </xf>
    <xf numFmtId="0" fontId="3" fillId="33" borderId="29" xfId="0" applyFont="1" applyFill="1" applyBorder="1" applyAlignment="1" applyProtection="1">
      <alignment horizontal="center" vertical="center" wrapText="1"/>
      <protection hidden="1"/>
    </xf>
    <xf numFmtId="0" fontId="13" fillId="33" borderId="11" xfId="0" applyFont="1" applyFill="1" applyBorder="1" applyAlignment="1" applyProtection="1">
      <alignment horizontal="left" vertical="center"/>
      <protection hidden="1"/>
    </xf>
    <xf numFmtId="0" fontId="13" fillId="33" borderId="16" xfId="0" applyFont="1" applyFill="1" applyBorder="1" applyAlignment="1" applyProtection="1">
      <alignment horizontal="left" vertical="center"/>
      <protection hidden="1"/>
    </xf>
    <xf numFmtId="0" fontId="13" fillId="33" borderId="58" xfId="0" applyFont="1" applyFill="1" applyBorder="1" applyAlignment="1" applyProtection="1">
      <alignment horizontal="left" vertical="center"/>
      <protection hidden="1"/>
    </xf>
    <xf numFmtId="0" fontId="3" fillId="45" borderId="85" xfId="0" applyFont="1" applyFill="1" applyBorder="1" applyAlignment="1" applyProtection="1">
      <alignment horizontal="center" vertical="center" textRotation="90"/>
      <protection hidden="1"/>
    </xf>
    <xf numFmtId="0" fontId="3" fillId="45" borderId="22" xfId="0" applyFont="1" applyFill="1" applyBorder="1" applyAlignment="1" applyProtection="1">
      <alignment horizontal="center" vertical="center" textRotation="90"/>
      <protection hidden="1"/>
    </xf>
    <xf numFmtId="0" fontId="3" fillId="45" borderId="24" xfId="0" applyFont="1" applyFill="1" applyBorder="1" applyAlignment="1" applyProtection="1">
      <alignment horizontal="center" vertical="center" textRotation="90"/>
      <protection hidden="1"/>
    </xf>
    <xf numFmtId="0" fontId="1" fillId="0" borderId="56"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protection hidden="1"/>
    </xf>
    <xf numFmtId="0" fontId="1" fillId="0" borderId="19" xfId="0" applyFont="1" applyFill="1" applyBorder="1" applyAlignment="1" applyProtection="1">
      <alignment horizontal="center" vertical="center"/>
      <protection hidden="1"/>
    </xf>
    <xf numFmtId="0" fontId="1" fillId="0" borderId="28" xfId="0" applyFont="1" applyFill="1" applyBorder="1" applyAlignment="1" applyProtection="1">
      <alignment horizontal="center" vertical="center"/>
      <protection hidden="1"/>
    </xf>
    <xf numFmtId="0" fontId="3" fillId="44" borderId="51" xfId="0" applyFont="1" applyFill="1" applyBorder="1" applyAlignment="1" applyProtection="1">
      <alignment horizontal="center" vertical="center"/>
      <protection hidden="1"/>
    </xf>
    <xf numFmtId="0" fontId="3" fillId="44" borderId="64" xfId="0" applyFont="1" applyFill="1" applyBorder="1" applyAlignment="1" applyProtection="1">
      <alignment horizontal="center" vertical="center"/>
      <protection hidden="1"/>
    </xf>
    <xf numFmtId="0" fontId="3" fillId="44" borderId="28" xfId="0" applyFont="1" applyFill="1" applyBorder="1" applyAlignment="1" applyProtection="1">
      <alignment horizontal="center" vertical="center"/>
      <protection hidden="1"/>
    </xf>
    <xf numFmtId="0" fontId="3" fillId="44" borderId="65" xfId="0" applyFont="1" applyFill="1" applyBorder="1" applyAlignment="1" applyProtection="1">
      <alignment horizontal="center" vertical="center"/>
      <protection hidden="1"/>
    </xf>
    <xf numFmtId="0" fontId="1" fillId="33" borderId="0" xfId="0" applyFont="1" applyFill="1" applyBorder="1" applyAlignment="1" applyProtection="1">
      <alignment horizontal="center" vertical="center"/>
      <protection hidden="1"/>
    </xf>
    <xf numFmtId="3" fontId="5" fillId="33" borderId="10" xfId="0" applyNumberFormat="1" applyFont="1" applyFill="1" applyBorder="1" applyAlignment="1" applyProtection="1">
      <alignment horizontal="left" wrapText="1"/>
      <protection hidden="1"/>
    </xf>
    <xf numFmtId="3" fontId="5" fillId="33" borderId="14" xfId="0" applyNumberFormat="1" applyFont="1" applyFill="1" applyBorder="1" applyAlignment="1" applyProtection="1">
      <alignment horizontal="left" wrapText="1"/>
      <protection hidden="1"/>
    </xf>
    <xf numFmtId="0" fontId="4" fillId="33" borderId="14" xfId="0" applyFont="1" applyFill="1" applyBorder="1" applyAlignment="1" applyProtection="1">
      <alignment horizontal="right" vertical="center" wrapText="1"/>
      <protection hidden="1"/>
    </xf>
    <xf numFmtId="0" fontId="4" fillId="33" borderId="29" xfId="0" applyFont="1" applyFill="1" applyBorder="1" applyAlignment="1" applyProtection="1">
      <alignment horizontal="right" vertical="center" wrapText="1"/>
      <protection hidden="1"/>
    </xf>
    <xf numFmtId="0" fontId="3" fillId="45" borderId="22" xfId="0" applyFont="1" applyFill="1" applyBorder="1" applyAlignment="1" applyProtection="1">
      <alignment horizontal="center" vertical="center" textRotation="90"/>
      <protection hidden="1"/>
    </xf>
    <xf numFmtId="0" fontId="3" fillId="45" borderId="24" xfId="0" applyFont="1" applyFill="1" applyBorder="1" applyAlignment="1" applyProtection="1">
      <alignment horizontal="center" vertical="center" textRotation="90"/>
      <protection hidden="1"/>
    </xf>
    <xf numFmtId="0" fontId="3" fillId="33" borderId="10" xfId="0" applyFont="1" applyFill="1" applyBorder="1" applyAlignment="1" applyProtection="1">
      <alignment horizontal="center" vertical="center" wrapText="1"/>
      <protection hidden="1"/>
    </xf>
    <xf numFmtId="0" fontId="3" fillId="33" borderId="14" xfId="0" applyFont="1" applyFill="1" applyBorder="1" applyAlignment="1" applyProtection="1">
      <alignment horizontal="center" vertical="center" wrapText="1"/>
      <protection hidden="1"/>
    </xf>
    <xf numFmtId="0" fontId="3" fillId="33" borderId="29" xfId="0" applyFont="1" applyFill="1" applyBorder="1" applyAlignment="1" applyProtection="1">
      <alignment horizontal="center" vertical="center" wrapText="1"/>
      <protection hidden="1"/>
    </xf>
    <xf numFmtId="0" fontId="3" fillId="44" borderId="51" xfId="0" applyFont="1" applyFill="1" applyBorder="1" applyAlignment="1" applyProtection="1">
      <alignment horizontal="center" vertical="center"/>
      <protection hidden="1"/>
    </xf>
    <xf numFmtId="0" fontId="3" fillId="44" borderId="64" xfId="0" applyFont="1" applyFill="1" applyBorder="1" applyAlignment="1" applyProtection="1">
      <alignment horizontal="center" vertical="center"/>
      <protection hidden="1"/>
    </xf>
    <xf numFmtId="0" fontId="3" fillId="44" borderId="19" xfId="0" applyFont="1" applyFill="1" applyBorder="1" applyAlignment="1" applyProtection="1">
      <alignment horizontal="center" vertical="center"/>
      <protection hidden="1"/>
    </xf>
    <xf numFmtId="0" fontId="3" fillId="44" borderId="28" xfId="0" applyFont="1" applyFill="1" applyBorder="1" applyAlignment="1" applyProtection="1">
      <alignment horizontal="center" vertical="center"/>
      <protection hidden="1"/>
    </xf>
    <xf numFmtId="0" fontId="3" fillId="44" borderId="65" xfId="0" applyFont="1" applyFill="1" applyBorder="1" applyAlignment="1" applyProtection="1">
      <alignment horizontal="center" vertical="center"/>
      <protection hidden="1"/>
    </xf>
    <xf numFmtId="0" fontId="3" fillId="44" borderId="13" xfId="0" applyFont="1" applyFill="1" applyBorder="1" applyAlignment="1" applyProtection="1">
      <alignment horizontal="center" vertical="center" wrapText="1"/>
      <protection hidden="1"/>
    </xf>
    <xf numFmtId="0" fontId="3" fillId="44" borderId="51" xfId="0" applyFont="1" applyFill="1" applyBorder="1" applyAlignment="1" applyProtection="1">
      <alignment horizontal="center" vertical="center" wrapText="1"/>
      <protection hidden="1"/>
    </xf>
    <xf numFmtId="0" fontId="3" fillId="44" borderId="64" xfId="0" applyFont="1" applyFill="1" applyBorder="1" applyAlignment="1" applyProtection="1">
      <alignment horizontal="center" vertical="center" wrapText="1"/>
      <protection hidden="1"/>
    </xf>
    <xf numFmtId="0" fontId="3" fillId="44" borderId="19" xfId="0" applyFont="1" applyFill="1" applyBorder="1" applyAlignment="1" applyProtection="1">
      <alignment horizontal="center" vertical="center" wrapText="1"/>
      <protection hidden="1"/>
    </xf>
    <xf numFmtId="0" fontId="3" fillId="44" borderId="28" xfId="0" applyFont="1" applyFill="1" applyBorder="1" applyAlignment="1" applyProtection="1">
      <alignment horizontal="center" vertical="center" wrapText="1"/>
      <protection hidden="1"/>
    </xf>
    <xf numFmtId="0" fontId="3" fillId="44" borderId="65" xfId="0" applyFont="1" applyFill="1" applyBorder="1" applyAlignment="1" applyProtection="1">
      <alignment horizontal="center" vertical="center" wrapText="1"/>
      <protection hidden="1"/>
    </xf>
    <xf numFmtId="0" fontId="1" fillId="40" borderId="10" xfId="0" applyFont="1" applyFill="1" applyBorder="1" applyAlignment="1" applyProtection="1">
      <alignment horizontal="left" vertical="center"/>
      <protection hidden="1" locked="0"/>
    </xf>
    <xf numFmtId="0" fontId="1" fillId="40" borderId="14" xfId="0" applyFont="1" applyFill="1" applyBorder="1" applyAlignment="1" applyProtection="1">
      <alignment horizontal="left" vertical="center"/>
      <protection hidden="1" locked="0"/>
    </xf>
    <xf numFmtId="0" fontId="1" fillId="40" borderId="29" xfId="0" applyFont="1" applyFill="1" applyBorder="1" applyAlignment="1" applyProtection="1">
      <alignment horizontal="left" vertical="center"/>
      <protection hidden="1" locked="0"/>
    </xf>
    <xf numFmtId="0" fontId="1" fillId="40" borderId="10" xfId="0" applyFont="1" applyFill="1" applyBorder="1" applyAlignment="1" applyProtection="1">
      <alignment horizontal="center" vertical="center"/>
      <protection hidden="1"/>
    </xf>
    <xf numFmtId="0" fontId="1" fillId="40" borderId="14" xfId="0" applyFont="1" applyFill="1" applyBorder="1" applyAlignment="1" applyProtection="1">
      <alignment horizontal="center" vertical="center"/>
      <protection hidden="1"/>
    </xf>
    <xf numFmtId="0" fontId="1" fillId="40" borderId="29" xfId="0" applyFont="1" applyFill="1" applyBorder="1" applyAlignment="1" applyProtection="1">
      <alignment horizontal="center" vertical="center"/>
      <protection hidden="1"/>
    </xf>
    <xf numFmtId="3" fontId="5" fillId="33" borderId="10" xfId="0" applyNumberFormat="1" applyFont="1" applyFill="1" applyBorder="1" applyAlignment="1" applyProtection="1">
      <alignment horizontal="right" wrapText="1"/>
      <protection hidden="1"/>
    </xf>
    <xf numFmtId="3" fontId="5" fillId="33" borderId="14" xfId="0" applyNumberFormat="1" applyFont="1" applyFill="1" applyBorder="1" applyAlignment="1" applyProtection="1">
      <alignment horizontal="right" wrapText="1"/>
      <protection hidden="1"/>
    </xf>
    <xf numFmtId="0" fontId="1" fillId="33" borderId="51" xfId="0" applyFont="1" applyFill="1" applyBorder="1" applyAlignment="1" applyProtection="1">
      <alignment horizontal="center" vertical="center"/>
      <protection hidden="1"/>
    </xf>
    <xf numFmtId="0" fontId="1" fillId="33" borderId="18" xfId="0" applyFont="1" applyFill="1" applyBorder="1" applyAlignment="1" applyProtection="1">
      <alignment horizontal="left" vertical="center"/>
      <protection hidden="1"/>
    </xf>
    <xf numFmtId="0" fontId="1" fillId="33" borderId="45" xfId="0" applyFont="1" applyFill="1" applyBorder="1" applyAlignment="1" applyProtection="1">
      <alignment horizontal="left" vertical="center"/>
      <protection hidden="1"/>
    </xf>
    <xf numFmtId="0" fontId="1" fillId="33" borderId="57" xfId="0" applyFont="1" applyFill="1" applyBorder="1" applyAlignment="1" applyProtection="1">
      <alignment horizontal="left" vertical="center"/>
      <protection hidden="1"/>
    </xf>
    <xf numFmtId="0" fontId="1" fillId="0" borderId="0" xfId="0" applyFont="1" applyFill="1" applyBorder="1" applyAlignment="1" applyProtection="1">
      <alignment horizontal="center" vertical="center"/>
      <protection hidden="1"/>
    </xf>
    <xf numFmtId="0" fontId="1" fillId="46" borderId="11" xfId="0" applyFont="1" applyFill="1" applyBorder="1" applyAlignment="1" applyProtection="1">
      <alignment horizontal="center" vertical="center"/>
      <protection/>
    </xf>
    <xf numFmtId="0" fontId="1" fillId="46" borderId="58" xfId="0" applyFont="1" applyFill="1" applyBorder="1" applyAlignment="1" applyProtection="1">
      <alignment horizontal="center" vertical="center"/>
      <protection/>
    </xf>
    <xf numFmtId="0" fontId="6" fillId="0" borderId="86" xfId="0" applyFont="1" applyBorder="1" applyAlignment="1" applyProtection="1">
      <alignment horizontal="center"/>
      <protection/>
    </xf>
    <xf numFmtId="0" fontId="6" fillId="0" borderId="39" xfId="0" applyFont="1" applyBorder="1" applyAlignment="1" applyProtection="1">
      <alignment horizontal="center"/>
      <protection/>
    </xf>
    <xf numFmtId="0" fontId="6" fillId="0" borderId="40" xfId="0" applyFont="1" applyBorder="1" applyAlignment="1" applyProtection="1">
      <alignment horizontal="center"/>
      <protection/>
    </xf>
    <xf numFmtId="0" fontId="1" fillId="46" borderId="87" xfId="0" applyFont="1" applyFill="1" applyBorder="1" applyAlignment="1" applyProtection="1">
      <alignment horizontal="center" vertical="center"/>
      <protection/>
    </xf>
    <xf numFmtId="0" fontId="1" fillId="46" borderId="38" xfId="0" applyFont="1" applyFill="1" applyBorder="1" applyAlignment="1" applyProtection="1">
      <alignment horizontal="center" vertical="center"/>
      <protection/>
    </xf>
    <xf numFmtId="0" fontId="1" fillId="46" borderId="88" xfId="0" applyFont="1" applyFill="1" applyBorder="1" applyAlignment="1" applyProtection="1">
      <alignment horizontal="center" vertical="center"/>
      <protection/>
    </xf>
    <xf numFmtId="0" fontId="1" fillId="46" borderId="33" xfId="0" applyFont="1" applyFill="1" applyBorder="1" applyAlignment="1" applyProtection="1">
      <alignment horizontal="center" vertical="center"/>
      <protection/>
    </xf>
    <xf numFmtId="0" fontId="1" fillId="44" borderId="88" xfId="0" applyFont="1" applyFill="1" applyBorder="1" applyAlignment="1" applyProtection="1">
      <alignment horizontal="center" vertical="center"/>
      <protection/>
    </xf>
    <xf numFmtId="0" fontId="1" fillId="44" borderId="33" xfId="0" applyFont="1" applyFill="1" applyBorder="1" applyAlignment="1" applyProtection="1">
      <alignment horizontal="center" vertical="center"/>
      <protection/>
    </xf>
    <xf numFmtId="0" fontId="3" fillId="33" borderId="89" xfId="0" applyFont="1" applyFill="1" applyBorder="1" applyAlignment="1" applyProtection="1">
      <alignment horizontal="center" vertical="center"/>
      <protection/>
    </xf>
    <xf numFmtId="0" fontId="3" fillId="33" borderId="62" xfId="0" applyFont="1" applyFill="1" applyBorder="1" applyAlignment="1" applyProtection="1">
      <alignment horizontal="center" vertical="center"/>
      <protection/>
    </xf>
    <xf numFmtId="0" fontId="1" fillId="46" borderId="90" xfId="0" applyFont="1" applyFill="1" applyBorder="1" applyAlignment="1" applyProtection="1">
      <alignment horizontal="center" vertical="center"/>
      <protection/>
    </xf>
    <xf numFmtId="0" fontId="1" fillId="46" borderId="31" xfId="0"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protection/>
    </xf>
    <xf numFmtId="0" fontId="5" fillId="33" borderId="29" xfId="0" applyFont="1" applyFill="1" applyBorder="1" applyAlignment="1" applyProtection="1">
      <alignment horizontal="center" vertical="center"/>
      <protection/>
    </xf>
    <xf numFmtId="0" fontId="18" fillId="0" borderId="85" xfId="0" applyFont="1" applyFill="1" applyBorder="1" applyAlignment="1" applyProtection="1">
      <alignment horizontal="center" vertical="center" wrapText="1"/>
      <protection hidden="1"/>
    </xf>
    <xf numFmtId="0" fontId="18" fillId="0" borderId="22" xfId="0" applyFont="1" applyFill="1" applyBorder="1" applyAlignment="1" applyProtection="1">
      <alignment horizontal="center" vertical="center" wrapText="1"/>
      <protection hidden="1"/>
    </xf>
    <xf numFmtId="0" fontId="18" fillId="0" borderId="24" xfId="0" applyFont="1" applyFill="1" applyBorder="1" applyAlignment="1" applyProtection="1">
      <alignment horizontal="center" vertical="center" wrapText="1"/>
      <protection hidden="1"/>
    </xf>
    <xf numFmtId="0" fontId="21" fillId="44" borderId="10" xfId="0" applyFont="1" applyFill="1" applyBorder="1" applyAlignment="1" applyProtection="1">
      <alignment horizontal="center" vertical="center"/>
      <protection hidden="1"/>
    </xf>
    <xf numFmtId="0" fontId="21" fillId="44" borderId="14" xfId="0" applyFont="1" applyFill="1" applyBorder="1" applyAlignment="1" applyProtection="1">
      <alignment horizontal="center" vertical="center"/>
      <protection hidden="1"/>
    </xf>
    <xf numFmtId="0" fontId="21" fillId="44" borderId="29" xfId="0" applyFont="1" applyFill="1" applyBorder="1" applyAlignment="1" applyProtection="1">
      <alignment horizontal="center" vertical="center"/>
      <protection hidden="1"/>
    </xf>
    <xf numFmtId="3" fontId="5" fillId="33" borderId="10" xfId="0" applyNumberFormat="1" applyFont="1" applyFill="1" applyBorder="1" applyAlignment="1" applyProtection="1">
      <alignment horizontal="left" wrapText="1"/>
      <protection hidden="1"/>
    </xf>
    <xf numFmtId="3" fontId="5" fillId="33" borderId="14" xfId="0" applyNumberFormat="1" applyFont="1" applyFill="1" applyBorder="1" applyAlignment="1" applyProtection="1">
      <alignment horizontal="left" wrapText="1"/>
      <protection hidden="1"/>
    </xf>
    <xf numFmtId="0" fontId="21" fillId="33" borderId="85" xfId="0" applyFont="1" applyFill="1" applyBorder="1" applyAlignment="1" applyProtection="1">
      <alignment horizontal="center" vertical="center"/>
      <protection hidden="1"/>
    </xf>
    <xf numFmtId="0" fontId="21" fillId="33" borderId="24" xfId="0" applyFont="1" applyFill="1" applyBorder="1" applyAlignment="1" applyProtection="1">
      <alignment horizontal="center" vertical="center"/>
      <protection hidden="1"/>
    </xf>
    <xf numFmtId="0" fontId="22" fillId="0" borderId="85" xfId="0" applyFont="1" applyBorder="1" applyAlignment="1" applyProtection="1">
      <alignment horizontal="center" vertical="center"/>
      <protection hidden="1"/>
    </xf>
    <xf numFmtId="0" fontId="22" fillId="0" borderId="24" xfId="0" applyFont="1" applyBorder="1" applyAlignment="1" applyProtection="1">
      <alignment horizontal="center" vertical="center"/>
      <protection hidden="1"/>
    </xf>
    <xf numFmtId="0" fontId="6" fillId="34" borderId="85" xfId="0" applyFont="1" applyFill="1" applyBorder="1" applyAlignment="1" applyProtection="1">
      <alignment horizontal="center" vertical="center" wrapText="1"/>
      <protection hidden="1"/>
    </xf>
    <xf numFmtId="0" fontId="6" fillId="34" borderId="22" xfId="0" applyFont="1" applyFill="1" applyBorder="1" applyAlignment="1" applyProtection="1">
      <alignment horizontal="center" vertical="center"/>
      <protection hidden="1"/>
    </xf>
    <xf numFmtId="0" fontId="6" fillId="34" borderId="24" xfId="0" applyFont="1" applyFill="1" applyBorder="1" applyAlignment="1" applyProtection="1">
      <alignment horizontal="center" vertical="center"/>
      <protection hidden="1"/>
    </xf>
    <xf numFmtId="0" fontId="22" fillId="33" borderId="10" xfId="0" applyFont="1" applyFill="1" applyBorder="1" applyAlignment="1" applyProtection="1">
      <alignment horizontal="center" vertical="center"/>
      <protection hidden="1"/>
    </xf>
    <xf numFmtId="0" fontId="22" fillId="33" borderId="14" xfId="0" applyFont="1" applyFill="1" applyBorder="1" applyAlignment="1" applyProtection="1">
      <alignment horizontal="center" vertical="center"/>
      <protection hidden="1"/>
    </xf>
    <xf numFmtId="0" fontId="22" fillId="33" borderId="29" xfId="0" applyFont="1" applyFill="1" applyBorder="1" applyAlignment="1" applyProtection="1">
      <alignment horizontal="center" vertical="center"/>
      <protection hidden="1"/>
    </xf>
    <xf numFmtId="0" fontId="3" fillId="33" borderId="85" xfId="0" applyFont="1" applyFill="1" applyBorder="1" applyAlignment="1" applyProtection="1">
      <alignment horizontal="center" vertical="center" textRotation="90"/>
      <protection hidden="1"/>
    </xf>
    <xf numFmtId="0" fontId="3" fillId="33" borderId="22" xfId="0" applyFont="1" applyFill="1" applyBorder="1" applyAlignment="1" applyProtection="1">
      <alignment horizontal="center" vertical="center" textRotation="90"/>
      <protection hidden="1"/>
    </xf>
    <xf numFmtId="0" fontId="3" fillId="33" borderId="24" xfId="0" applyFont="1" applyFill="1" applyBorder="1" applyAlignment="1" applyProtection="1">
      <alignment horizontal="center" vertical="center" textRotation="90"/>
      <protection hidden="1"/>
    </xf>
    <xf numFmtId="0" fontId="5" fillId="0" borderId="85" xfId="0" applyFont="1" applyBorder="1" applyAlignment="1" applyProtection="1">
      <alignment horizontal="center" vertical="center" textRotation="90"/>
      <protection hidden="1"/>
    </xf>
    <xf numFmtId="0" fontId="5" fillId="0" borderId="22" xfId="0" applyFont="1" applyBorder="1" applyAlignment="1" applyProtection="1">
      <alignment horizontal="center" vertical="center" textRotation="90"/>
      <protection hidden="1"/>
    </xf>
    <xf numFmtId="0" fontId="5" fillId="0" borderId="24" xfId="0" applyFont="1" applyBorder="1" applyAlignment="1" applyProtection="1">
      <alignment horizontal="center" vertical="center" textRotation="90"/>
      <protection hidden="1"/>
    </xf>
    <xf numFmtId="0" fontId="22" fillId="0" borderId="13" xfId="0" applyFont="1" applyBorder="1" applyAlignment="1" applyProtection="1">
      <alignment horizontal="center" vertical="center"/>
      <protection hidden="1"/>
    </xf>
    <xf numFmtId="0" fontId="22" fillId="0" borderId="19" xfId="0" applyFont="1" applyBorder="1" applyAlignment="1" applyProtection="1">
      <alignment horizontal="center" vertical="center"/>
      <protection hidden="1"/>
    </xf>
    <xf numFmtId="0" fontId="22" fillId="0" borderId="91" xfId="0" applyFont="1" applyBorder="1" applyAlignment="1" applyProtection="1">
      <alignment horizontal="center" vertical="center"/>
      <protection hidden="1"/>
    </xf>
    <xf numFmtId="0" fontId="22" fillId="0" borderId="77" xfId="0" applyFont="1" applyBorder="1" applyAlignment="1" applyProtection="1">
      <alignment horizontal="center" vertical="center"/>
      <protection hidden="1"/>
    </xf>
    <xf numFmtId="0" fontId="22" fillId="0" borderId="64" xfId="0" applyFont="1" applyBorder="1" applyAlignment="1" applyProtection="1">
      <alignment horizontal="center" vertical="center"/>
      <protection hidden="1"/>
    </xf>
    <xf numFmtId="0" fontId="22" fillId="0" borderId="65" xfId="0" applyFont="1" applyBorder="1" applyAlignment="1" applyProtection="1">
      <alignment horizontal="center" vertical="center"/>
      <protection hidden="1"/>
    </xf>
    <xf numFmtId="0" fontId="22" fillId="33" borderId="85" xfId="0" applyFont="1" applyFill="1" applyBorder="1" applyAlignment="1" applyProtection="1">
      <alignment horizontal="center" vertical="center"/>
      <protection hidden="1"/>
    </xf>
    <xf numFmtId="0" fontId="22" fillId="33" borderId="24" xfId="0" applyFont="1" applyFill="1" applyBorder="1" applyAlignment="1" applyProtection="1">
      <alignment horizontal="center" vertical="center"/>
      <protection hidden="1"/>
    </xf>
    <xf numFmtId="0" fontId="22" fillId="0" borderId="10" xfId="0" applyFont="1" applyBorder="1" applyAlignment="1" applyProtection="1">
      <alignment horizontal="center"/>
      <protection hidden="1"/>
    </xf>
    <xf numFmtId="0" fontId="22" fillId="0" borderId="14" xfId="0" applyFont="1" applyBorder="1" applyAlignment="1" applyProtection="1">
      <alignment horizontal="center"/>
      <protection hidden="1"/>
    </xf>
    <xf numFmtId="0" fontId="22" fillId="0" borderId="29" xfId="0" applyFont="1" applyBorder="1" applyAlignment="1" applyProtection="1">
      <alignment horizontal="center"/>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Mix 1 CO</a:t>
            </a:r>
            <a:r>
              <a:rPr lang="en-US" cap="none" sz="1800" b="1" i="0" u="none" baseline="-25000">
                <a:solidFill>
                  <a:srgbClr val="000000"/>
                </a:solidFill>
              </a:rPr>
              <a:t>2</a:t>
            </a:r>
            <a:r>
              <a:rPr lang="en-US" cap="none" sz="1800" b="1" i="0" u="none" baseline="0">
                <a:solidFill>
                  <a:srgbClr val="000000"/>
                </a:solidFill>
              </a:rPr>
              <a:t> Emissions Category Breakdown</a:t>
            </a:r>
          </a:p>
        </c:rich>
      </c:tx>
      <c:layout>
        <c:manualLayout>
          <c:xMode val="factor"/>
          <c:yMode val="factor"/>
          <c:x val="0.06275"/>
          <c:y val="0.003"/>
        </c:manualLayout>
      </c:layout>
      <c:spPr>
        <a:noFill/>
        <a:ln w="3175">
          <a:noFill/>
        </a:ln>
      </c:spPr>
    </c:title>
    <c:plotArea>
      <c:layout>
        <c:manualLayout>
          <c:xMode val="edge"/>
          <c:yMode val="edge"/>
          <c:x val="0.13375"/>
          <c:y val="0.3105"/>
          <c:w val="0.45"/>
          <c:h val="0.533"/>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0%" sourceLinked="0"/>
            <c:spPr>
              <a:noFill/>
              <a:ln w="3175">
                <a:noFill/>
              </a:ln>
            </c:spPr>
            <c:showLegendKey val="0"/>
            <c:showVal val="0"/>
            <c:showBubbleSize val="0"/>
            <c:showCatName val="0"/>
            <c:showSerName val="0"/>
            <c:showLeaderLines val="1"/>
            <c:showPercent val="1"/>
          </c:dLbls>
          <c:cat>
            <c:strRef>
              <c:f>'Mass Batching Model'!$L$8:$N$8</c:f>
              <c:strCache/>
            </c:strRef>
          </c:cat>
          <c:val>
            <c:numRef>
              <c:f>'Mass Batching Model'!$L$24:$N$24</c:f>
              <c:numCache/>
            </c:numRef>
          </c:val>
        </c:ser>
        <c:ser>
          <c:idx val="1"/>
          <c:order val="1"/>
          <c:spPr>
            <a:solidFill>
              <a:srgbClr val="993366"/>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numFmt formatCode="0%" sourceLinked="0"/>
            <c:spPr>
              <a:solidFill>
                <a:srgbClr val="FFFFFF"/>
              </a:solidFill>
              <a:ln w="3175">
                <a:solidFill>
                  <a:srgbClr val="000000"/>
                </a:solidFill>
              </a:ln>
            </c:spPr>
            <c:showLegendKey val="0"/>
            <c:showVal val="0"/>
            <c:showBubbleSize val="0"/>
            <c:showCatName val="0"/>
            <c:showSerName val="0"/>
            <c:showLeaderLines val="1"/>
            <c:showPercent val="1"/>
          </c:dLbls>
          <c:cat>
            <c:strRef>
              <c:f>'Mass Batching Model'!$L$8:$N$8</c:f>
              <c:strCache/>
            </c:strRef>
          </c:cat>
          <c:val>
            <c:numRef>
              <c:f>'Mass Batching Model'!$L$24:$N$24</c:f>
              <c:numCache/>
            </c:numRef>
          </c:val>
        </c:ser>
      </c:pieChart>
      <c:spPr>
        <a:noFill/>
        <a:ln>
          <a:noFill/>
        </a:ln>
      </c:spPr>
    </c:plotArea>
    <c:legend>
      <c:legendPos val="r"/>
      <c:layout>
        <c:manualLayout>
          <c:xMode val="edge"/>
          <c:yMode val="edge"/>
          <c:x val="0.658"/>
          <c:y val="0.26625"/>
          <c:w val="0.248"/>
          <c:h val="0.597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CO</a:t>
            </a:r>
            <a:r>
              <a:rPr lang="en-US" cap="none" sz="1800" b="1" i="0" u="none" baseline="-25000">
                <a:solidFill>
                  <a:srgbClr val="000000"/>
                </a:solidFill>
              </a:rPr>
              <a:t>2</a:t>
            </a:r>
            <a:r>
              <a:rPr lang="en-US" cap="none" sz="1800" b="1" i="0" u="none" baseline="0">
                <a:solidFill>
                  <a:srgbClr val="000000"/>
                </a:solidFill>
              </a:rPr>
              <a:t> emission types associated with 
</a:t>
            </a:r>
            <a:r>
              <a:rPr lang="en-US" cap="none" sz="1800" b="1" i="0" u="none" baseline="0">
                <a:solidFill>
                  <a:srgbClr val="000000"/>
                </a:solidFill>
              </a:rPr>
              <a:t>Aggregates</a:t>
            </a:r>
          </a:p>
        </c:rich>
      </c:tx>
      <c:layout>
        <c:manualLayout>
          <c:xMode val="factor"/>
          <c:yMode val="factor"/>
          <c:x val="-0.002"/>
          <c:y val="-0.01075"/>
        </c:manualLayout>
      </c:layout>
      <c:spPr>
        <a:noFill/>
        <a:ln w="3175">
          <a:noFill/>
        </a:ln>
      </c:spPr>
    </c:title>
    <c:plotArea>
      <c:layout>
        <c:manualLayout>
          <c:xMode val="edge"/>
          <c:yMode val="edge"/>
          <c:x val="0.25575"/>
          <c:y val="0.33325"/>
          <c:w val="0.3395"/>
          <c:h val="0.5725"/>
        </c:manualLayout>
      </c:layout>
      <c:pieChart>
        <c:varyColors val="1"/>
        <c:ser>
          <c:idx val="1"/>
          <c:order val="0"/>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dLblPos val="outEnd"/>
            <c:showLegendKey val="0"/>
            <c:showVal val="1"/>
            <c:showBubbleSize val="0"/>
            <c:showCatName val="0"/>
            <c:showSerName val="0"/>
            <c:showLeaderLines val="1"/>
            <c:showPercent val="0"/>
          </c:dLbls>
          <c:cat>
            <c:strRef>
              <c:f>'Pie Charts'!$B$3:$C$3</c:f>
              <c:strCache/>
            </c:strRef>
          </c:cat>
          <c:val>
            <c:numRef>
              <c:f>'Pie Charts'!$B$21:$C$21</c:f>
              <c:numCache/>
            </c:numRef>
          </c:val>
        </c:ser>
      </c:pieChart>
      <c:spPr>
        <a:noFill/>
        <a:ln>
          <a:noFill/>
        </a:ln>
      </c:spPr>
    </c:plotArea>
    <c:legend>
      <c:legendPos val="r"/>
      <c:layout>
        <c:manualLayout>
          <c:xMode val="edge"/>
          <c:yMode val="edge"/>
          <c:x val="0.862"/>
          <c:y val="0.54125"/>
          <c:w val="0.1275"/>
          <c:h val="0.157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CO</a:t>
            </a:r>
            <a:r>
              <a:rPr lang="en-US" cap="none" sz="1800" b="1" i="0" u="none" baseline="-25000">
                <a:solidFill>
                  <a:srgbClr val="000000"/>
                </a:solidFill>
              </a:rPr>
              <a:t>2</a:t>
            </a:r>
            <a:r>
              <a:rPr lang="en-US" cap="none" sz="1800" b="1" i="0" u="none" baseline="0">
                <a:solidFill>
                  <a:srgbClr val="000000"/>
                </a:solidFill>
              </a:rPr>
              <a:t> emission types associated with 
</a:t>
            </a:r>
            <a:r>
              <a:rPr lang="en-US" cap="none" sz="1800" b="1" i="0" u="none" baseline="0">
                <a:solidFill>
                  <a:srgbClr val="000000"/>
                </a:solidFill>
              </a:rPr>
              <a:t>Fly Ash</a:t>
            </a:r>
          </a:p>
        </c:rich>
      </c:tx>
      <c:layout>
        <c:manualLayout>
          <c:xMode val="factor"/>
          <c:yMode val="factor"/>
          <c:x val="-0.002"/>
          <c:y val="-0.01075"/>
        </c:manualLayout>
      </c:layout>
      <c:spPr>
        <a:noFill/>
        <a:ln w="3175">
          <a:noFill/>
        </a:ln>
      </c:spPr>
    </c:title>
    <c:plotArea>
      <c:layout>
        <c:manualLayout>
          <c:xMode val="edge"/>
          <c:yMode val="edge"/>
          <c:x val="0.25575"/>
          <c:y val="0.33325"/>
          <c:w val="0.3395"/>
          <c:h val="0.5725"/>
        </c:manualLayout>
      </c:layout>
      <c:pieChart>
        <c:varyColors val="1"/>
        <c:ser>
          <c:idx val="1"/>
          <c:order val="0"/>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dLblPos val="outEnd"/>
            <c:showLegendKey val="0"/>
            <c:showVal val="1"/>
            <c:showBubbleSize val="0"/>
            <c:showCatName val="0"/>
            <c:showSerName val="0"/>
            <c:showLeaderLines val="1"/>
            <c:showPercent val="0"/>
          </c:dLbls>
          <c:cat>
            <c:strRef>
              <c:f>'Pie Charts'!$B$3:$C$3</c:f>
              <c:strCache/>
            </c:strRef>
          </c:cat>
          <c:val>
            <c:numRef>
              <c:f>'Pie Charts'!$B$40:$C$40</c:f>
              <c:numCache/>
            </c:numRef>
          </c:val>
        </c:ser>
      </c:pieChart>
      <c:spPr>
        <a:noFill/>
        <a:ln>
          <a:noFill/>
        </a:ln>
      </c:spPr>
    </c:plotArea>
    <c:legend>
      <c:legendPos val="r"/>
      <c:layout>
        <c:manualLayout>
          <c:xMode val="edge"/>
          <c:yMode val="edge"/>
          <c:x val="0.862"/>
          <c:y val="0.54125"/>
          <c:w val="0.1275"/>
          <c:h val="0.157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CO</a:t>
            </a:r>
            <a:r>
              <a:rPr lang="en-US" cap="none" sz="1800" b="1" i="0" u="none" baseline="-25000">
                <a:solidFill>
                  <a:srgbClr val="000000"/>
                </a:solidFill>
              </a:rPr>
              <a:t>2</a:t>
            </a:r>
            <a:r>
              <a:rPr lang="en-US" cap="none" sz="1800" b="1" i="0" u="none" baseline="0">
                <a:solidFill>
                  <a:srgbClr val="000000"/>
                </a:solidFill>
              </a:rPr>
              <a:t> emission types associated with 
</a:t>
            </a:r>
            <a:r>
              <a:rPr lang="en-US" cap="none" sz="1800" b="1" i="0" u="none" baseline="0">
                <a:solidFill>
                  <a:srgbClr val="000000"/>
                </a:solidFill>
              </a:rPr>
              <a:t>GGBS</a:t>
            </a:r>
          </a:p>
        </c:rich>
      </c:tx>
      <c:layout>
        <c:manualLayout>
          <c:xMode val="factor"/>
          <c:yMode val="factor"/>
          <c:x val="-0.002"/>
          <c:y val="-0.01075"/>
        </c:manualLayout>
      </c:layout>
      <c:spPr>
        <a:noFill/>
        <a:ln w="3175">
          <a:noFill/>
        </a:ln>
      </c:spPr>
    </c:title>
    <c:plotArea>
      <c:layout>
        <c:manualLayout>
          <c:xMode val="edge"/>
          <c:yMode val="edge"/>
          <c:x val="0.25575"/>
          <c:y val="0.33325"/>
          <c:w val="0.3395"/>
          <c:h val="0.5725"/>
        </c:manualLayout>
      </c:layout>
      <c:pieChart>
        <c:varyColors val="1"/>
        <c:ser>
          <c:idx val="1"/>
          <c:order val="0"/>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dLblPos val="outEnd"/>
            <c:showLegendKey val="0"/>
            <c:showVal val="1"/>
            <c:showBubbleSize val="0"/>
            <c:showCatName val="0"/>
            <c:showSerName val="0"/>
            <c:showLeaderLines val="1"/>
            <c:showPercent val="0"/>
          </c:dLbls>
          <c:cat>
            <c:strRef>
              <c:f>'Pie Charts'!$B$3:$C$3</c:f>
              <c:strCache/>
            </c:strRef>
          </c:cat>
          <c:val>
            <c:numRef>
              <c:f>'Pie Charts'!$B$59:$C$59</c:f>
              <c:numCache/>
            </c:numRef>
          </c:val>
        </c:ser>
      </c:pieChart>
      <c:spPr>
        <a:noFill/>
        <a:ln>
          <a:noFill/>
        </a:ln>
      </c:spPr>
    </c:plotArea>
    <c:legend>
      <c:legendPos val="r"/>
      <c:layout>
        <c:manualLayout>
          <c:xMode val="edge"/>
          <c:yMode val="edge"/>
          <c:x val="0.862"/>
          <c:y val="0.54125"/>
          <c:w val="0.1275"/>
          <c:h val="0.157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CO</a:t>
            </a:r>
            <a:r>
              <a:rPr lang="en-US" cap="none" sz="1800" b="1" i="0" u="none" baseline="-25000">
                <a:solidFill>
                  <a:srgbClr val="000000"/>
                </a:solidFill>
              </a:rPr>
              <a:t>2</a:t>
            </a:r>
            <a:r>
              <a:rPr lang="en-US" cap="none" sz="1800" b="1" i="0" u="none" baseline="0">
                <a:solidFill>
                  <a:srgbClr val="000000"/>
                </a:solidFill>
              </a:rPr>
              <a:t> emission types associated with 
</a:t>
            </a:r>
            <a:r>
              <a:rPr lang="en-US" cap="none" sz="1800" b="1" i="0" u="none" baseline="0">
                <a:solidFill>
                  <a:srgbClr val="000000"/>
                </a:solidFill>
              </a:rPr>
              <a:t>In-Situ Concrete</a:t>
            </a:r>
          </a:p>
        </c:rich>
      </c:tx>
      <c:layout>
        <c:manualLayout>
          <c:xMode val="factor"/>
          <c:yMode val="factor"/>
          <c:x val="-0.002"/>
          <c:y val="-0.01075"/>
        </c:manualLayout>
      </c:layout>
      <c:spPr>
        <a:noFill/>
        <a:ln w="3175">
          <a:noFill/>
        </a:ln>
      </c:spPr>
    </c:title>
    <c:plotArea>
      <c:layout>
        <c:manualLayout>
          <c:xMode val="edge"/>
          <c:yMode val="edge"/>
          <c:x val="0.25575"/>
          <c:y val="0.33325"/>
          <c:w val="0.3395"/>
          <c:h val="0.5725"/>
        </c:manualLayout>
      </c:layout>
      <c:pieChart>
        <c:varyColors val="1"/>
        <c:ser>
          <c:idx val="1"/>
          <c:order val="0"/>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dLblPos val="outEnd"/>
            <c:showLegendKey val="0"/>
            <c:showVal val="1"/>
            <c:showBubbleSize val="0"/>
            <c:showCatName val="0"/>
            <c:showSerName val="0"/>
            <c:showLeaderLines val="1"/>
            <c:showPercent val="0"/>
          </c:dLbls>
          <c:cat>
            <c:strRef>
              <c:f>'Pie Charts'!$B$3:$D$3</c:f>
              <c:strCache/>
            </c:strRef>
          </c:cat>
          <c:val>
            <c:numRef>
              <c:f>'Pie Charts'!$B$78:$D$78</c:f>
              <c:numCache/>
            </c:numRef>
          </c:val>
        </c:ser>
      </c:pieChart>
      <c:spPr>
        <a:noFill/>
        <a:ln>
          <a:noFill/>
        </a:ln>
      </c:spPr>
    </c:plotArea>
    <c:legend>
      <c:legendPos val="r"/>
      <c:layout>
        <c:manualLayout>
          <c:xMode val="edge"/>
          <c:yMode val="edge"/>
          <c:x val="0.862"/>
          <c:y val="0.50175"/>
          <c:w val="0.1275"/>
          <c:h val="0.240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CO</a:t>
            </a:r>
            <a:r>
              <a:rPr lang="en-US" cap="none" sz="1800" b="1" i="0" u="none" baseline="-25000">
                <a:solidFill>
                  <a:srgbClr val="000000"/>
                </a:solidFill>
              </a:rPr>
              <a:t>2</a:t>
            </a:r>
            <a:r>
              <a:rPr lang="en-US" cap="none" sz="1800" b="1" i="0" u="none" baseline="0">
                <a:solidFill>
                  <a:srgbClr val="000000"/>
                </a:solidFill>
              </a:rPr>
              <a:t> emission types associated with 
</a:t>
            </a:r>
            <a:r>
              <a:rPr lang="en-US" cap="none" sz="1800" b="1" i="0" u="none" baseline="0">
                <a:solidFill>
                  <a:srgbClr val="000000"/>
                </a:solidFill>
              </a:rPr>
              <a:t>Pre-cast Slabs</a:t>
            </a:r>
          </a:p>
        </c:rich>
      </c:tx>
      <c:layout>
        <c:manualLayout>
          <c:xMode val="factor"/>
          <c:yMode val="factor"/>
          <c:x val="-0.002"/>
          <c:y val="-0.01075"/>
        </c:manualLayout>
      </c:layout>
      <c:spPr>
        <a:noFill/>
        <a:ln w="3175">
          <a:noFill/>
        </a:ln>
      </c:spPr>
    </c:title>
    <c:plotArea>
      <c:layout>
        <c:manualLayout>
          <c:xMode val="edge"/>
          <c:yMode val="edge"/>
          <c:x val="0.25575"/>
          <c:y val="0.33325"/>
          <c:w val="0.3395"/>
          <c:h val="0.5725"/>
        </c:manualLayout>
      </c:layout>
      <c:pieChart>
        <c:varyColors val="1"/>
        <c:ser>
          <c:idx val="1"/>
          <c:order val="0"/>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dLblPos val="outEnd"/>
            <c:showLegendKey val="0"/>
            <c:showVal val="1"/>
            <c:showBubbleSize val="0"/>
            <c:showCatName val="0"/>
            <c:showSerName val="0"/>
            <c:showLeaderLines val="1"/>
            <c:showPercent val="0"/>
          </c:dLbls>
          <c:cat>
            <c:strRef>
              <c:f>'Pie Charts'!$B$3:$D$3</c:f>
              <c:strCache/>
            </c:strRef>
          </c:cat>
          <c:val>
            <c:numRef>
              <c:f>'Pie Charts'!$B$97:$D$97</c:f>
              <c:numCache/>
            </c:numRef>
          </c:val>
        </c:ser>
      </c:pieChart>
      <c:spPr>
        <a:noFill/>
        <a:ln>
          <a:noFill/>
        </a:ln>
      </c:spPr>
    </c:plotArea>
    <c:legend>
      <c:legendPos val="r"/>
      <c:layout>
        <c:manualLayout>
          <c:xMode val="edge"/>
          <c:yMode val="edge"/>
          <c:x val="0.862"/>
          <c:y val="0.50175"/>
          <c:w val="0.1275"/>
          <c:h val="0.240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CO</a:t>
            </a:r>
            <a:r>
              <a:rPr lang="en-US" cap="none" sz="1800" b="1" i="0" u="none" baseline="-25000">
                <a:solidFill>
                  <a:srgbClr val="000000"/>
                </a:solidFill>
              </a:rPr>
              <a:t>2</a:t>
            </a:r>
            <a:r>
              <a:rPr lang="en-US" cap="none" sz="1800" b="1" i="0" u="none" baseline="0">
                <a:solidFill>
                  <a:srgbClr val="000000"/>
                </a:solidFill>
              </a:rPr>
              <a:t> emission types associated with 
</a:t>
            </a:r>
            <a:r>
              <a:rPr lang="en-US" cap="none" sz="1800" b="1" i="0" u="none" baseline="0">
                <a:solidFill>
                  <a:srgbClr val="000000"/>
                </a:solidFill>
              </a:rPr>
              <a:t>CEM I Cement</a:t>
            </a:r>
          </a:p>
        </c:rich>
      </c:tx>
      <c:layout>
        <c:manualLayout>
          <c:xMode val="factor"/>
          <c:yMode val="factor"/>
          <c:x val="-0.002"/>
          <c:y val="-0.01075"/>
        </c:manualLayout>
      </c:layout>
      <c:spPr>
        <a:noFill/>
        <a:ln w="3175">
          <a:noFill/>
        </a:ln>
      </c:spPr>
    </c:title>
    <c:plotArea>
      <c:layout>
        <c:manualLayout>
          <c:xMode val="edge"/>
          <c:yMode val="edge"/>
          <c:x val="0.25575"/>
          <c:y val="0.33325"/>
          <c:w val="0.3395"/>
          <c:h val="0.5725"/>
        </c:manualLayout>
      </c:layout>
      <c:pieChart>
        <c:varyColors val="1"/>
        <c:ser>
          <c:idx val="1"/>
          <c:order val="0"/>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dLblPos val="outEnd"/>
            <c:showLegendKey val="0"/>
            <c:showVal val="1"/>
            <c:showBubbleSize val="0"/>
            <c:showCatName val="0"/>
            <c:showSerName val="0"/>
            <c:showLeaderLines val="1"/>
            <c:showPercent val="0"/>
          </c:dLbls>
          <c:cat>
            <c:strRef>
              <c:f>'Pie Charts'!$B$3:$D$3</c:f>
              <c:strCache/>
            </c:strRef>
          </c:cat>
          <c:val>
            <c:numRef>
              <c:f>'Pie Charts'!$B$117:$D$117</c:f>
              <c:numCache/>
            </c:numRef>
          </c:val>
        </c:ser>
      </c:pieChart>
      <c:spPr>
        <a:noFill/>
        <a:ln>
          <a:noFill/>
        </a:ln>
      </c:spPr>
    </c:plotArea>
    <c:legend>
      <c:legendPos val="r"/>
      <c:layout>
        <c:manualLayout>
          <c:xMode val="edge"/>
          <c:yMode val="edge"/>
          <c:x val="0.862"/>
          <c:y val="0.50175"/>
          <c:w val="0.1275"/>
          <c:h val="0.240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CO</a:t>
            </a:r>
            <a:r>
              <a:rPr lang="en-US" cap="none" sz="1800" b="1" i="0" u="none" baseline="-25000">
                <a:solidFill>
                  <a:srgbClr val="000000"/>
                </a:solidFill>
              </a:rPr>
              <a:t>2</a:t>
            </a:r>
            <a:r>
              <a:rPr lang="en-US" cap="none" sz="1800" b="1" i="0" u="none" baseline="0">
                <a:solidFill>
                  <a:srgbClr val="000000"/>
                </a:solidFill>
              </a:rPr>
              <a:t> emission types associated with 
</a:t>
            </a:r>
            <a:r>
              <a:rPr lang="en-US" cap="none" sz="1800" b="1" i="0" u="none" baseline="0">
                <a:solidFill>
                  <a:srgbClr val="000000"/>
                </a:solidFill>
              </a:rPr>
              <a:t>Reinforcing Steel</a:t>
            </a:r>
          </a:p>
        </c:rich>
      </c:tx>
      <c:layout>
        <c:manualLayout>
          <c:xMode val="factor"/>
          <c:yMode val="factor"/>
          <c:x val="-0.002"/>
          <c:y val="-0.01075"/>
        </c:manualLayout>
      </c:layout>
      <c:spPr>
        <a:noFill/>
        <a:ln w="3175">
          <a:noFill/>
        </a:ln>
      </c:spPr>
    </c:title>
    <c:plotArea>
      <c:layout>
        <c:manualLayout>
          <c:xMode val="edge"/>
          <c:yMode val="edge"/>
          <c:x val="0.25575"/>
          <c:y val="0.33325"/>
          <c:w val="0.3395"/>
          <c:h val="0.5725"/>
        </c:manualLayout>
      </c:layout>
      <c:pieChart>
        <c:varyColors val="1"/>
        <c:ser>
          <c:idx val="1"/>
          <c:order val="0"/>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dLblPos val="outEnd"/>
            <c:showLegendKey val="0"/>
            <c:showVal val="1"/>
            <c:showBubbleSize val="0"/>
            <c:showCatName val="0"/>
            <c:showSerName val="0"/>
            <c:showLeaderLines val="1"/>
            <c:showPercent val="0"/>
          </c:dLbls>
          <c:cat>
            <c:strRef>
              <c:f>'Pie Charts'!$B$3:$D$3</c:f>
              <c:strCache/>
            </c:strRef>
          </c:cat>
          <c:val>
            <c:numRef>
              <c:f>'Pie Charts'!$B$136:$D$136</c:f>
              <c:numCache/>
            </c:numRef>
          </c:val>
        </c:ser>
      </c:pieChart>
      <c:spPr>
        <a:noFill/>
        <a:ln>
          <a:noFill/>
        </a:ln>
      </c:spPr>
    </c:plotArea>
    <c:legend>
      <c:legendPos val="r"/>
      <c:layout>
        <c:manualLayout>
          <c:xMode val="edge"/>
          <c:yMode val="edge"/>
          <c:x val="0.862"/>
          <c:y val="0.50175"/>
          <c:w val="0.1275"/>
          <c:h val="0.240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Mix Design CO</a:t>
            </a:r>
            <a:r>
              <a:rPr lang="en-US" cap="none" sz="2000" b="1" i="0" u="none" baseline="-25000">
                <a:solidFill>
                  <a:srgbClr val="000000"/>
                </a:solidFill>
              </a:rPr>
              <a:t>2</a:t>
            </a:r>
            <a:r>
              <a:rPr lang="en-US" cap="none" sz="2000" b="1" i="0" u="none" baseline="0">
                <a:solidFill>
                  <a:srgbClr val="000000"/>
                </a:solidFill>
              </a:rPr>
              <a:t>e Emission Comparison</a:t>
            </a:r>
          </a:p>
        </c:rich>
      </c:tx>
      <c:layout>
        <c:manualLayout>
          <c:xMode val="factor"/>
          <c:yMode val="factor"/>
          <c:x val="-0.00775"/>
          <c:y val="0.0055"/>
        </c:manualLayout>
      </c:layout>
      <c:spPr>
        <a:noFill/>
        <a:ln w="3175">
          <a:noFill/>
        </a:ln>
      </c:spPr>
    </c:title>
    <c:plotArea>
      <c:layout>
        <c:manualLayout>
          <c:xMode val="edge"/>
          <c:yMode val="edge"/>
          <c:x val="0.03725"/>
          <c:y val="0.09325"/>
          <c:w val="0.85525"/>
          <c:h val="0.83825"/>
        </c:manualLayout>
      </c:layout>
      <c:barChart>
        <c:barDir val="col"/>
        <c:grouping val="stacked"/>
        <c:varyColors val="0"/>
        <c:ser>
          <c:idx val="0"/>
          <c:order val="0"/>
          <c:tx>
            <c:v>Scope 1</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200" b="0" i="0" u="none" baseline="0">
                    <a:solidFill>
                      <a:srgbClr val="000000"/>
                    </a:solidFill>
                  </a:defRPr>
                </a:pPr>
              </a:p>
            </c:txPr>
            <c:showLegendKey val="0"/>
            <c:showVal val="1"/>
            <c:showBubbleSize val="0"/>
            <c:showCatName val="0"/>
            <c:showSerName val="0"/>
            <c:showPercent val="0"/>
          </c:dLbls>
          <c:val>
            <c:numRef>
              <c:f>('Mass Batching Model'!$L$24,'Mass Batching Model'!$L$47,'Mass Batching Model'!$L$70)</c:f>
              <c:numCache/>
            </c:numRef>
          </c:val>
        </c:ser>
        <c:ser>
          <c:idx val="1"/>
          <c:order val="1"/>
          <c:tx>
            <c:v>Scope 2</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200" b="0" i="0" u="none" baseline="0">
                    <a:solidFill>
                      <a:srgbClr val="000000"/>
                    </a:solidFill>
                  </a:defRPr>
                </a:pPr>
              </a:p>
            </c:txPr>
            <c:showLegendKey val="0"/>
            <c:showVal val="1"/>
            <c:showBubbleSize val="0"/>
            <c:showCatName val="0"/>
            <c:showSerName val="0"/>
            <c:showPercent val="0"/>
          </c:dLbls>
          <c:val>
            <c:numRef>
              <c:f>('Mass Batching Model'!$M$24,'Mass Batching Model'!$M$47,'Mass Batching Model'!$M$70)</c:f>
              <c:numCache/>
            </c:numRef>
          </c:val>
        </c:ser>
        <c:ser>
          <c:idx val="2"/>
          <c:order val="2"/>
          <c:tx>
            <c:v>Scope 3</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200" b="0" i="0" u="none" baseline="0">
                    <a:solidFill>
                      <a:srgbClr val="000000"/>
                    </a:solidFill>
                  </a:defRPr>
                </a:pPr>
              </a:p>
            </c:txPr>
            <c:showLegendKey val="0"/>
            <c:showVal val="1"/>
            <c:showBubbleSize val="0"/>
            <c:showCatName val="0"/>
            <c:showSerName val="0"/>
            <c:showPercent val="0"/>
          </c:dLbls>
          <c:val>
            <c:numRef>
              <c:f>('Mass Batching Model'!$N$24,'Mass Batching Model'!$N$47,'Mass Batching Model'!$N$70)</c:f>
              <c:numCache/>
            </c:numRef>
          </c:val>
        </c:ser>
        <c:overlap val="100"/>
        <c:axId val="52908075"/>
        <c:axId val="6410628"/>
      </c:barChart>
      <c:catAx>
        <c:axId val="52908075"/>
        <c:scaling>
          <c:orientation val="minMax"/>
        </c:scaling>
        <c:axPos val="b"/>
        <c:title>
          <c:tx>
            <c:rich>
              <a:bodyPr vert="horz" rot="0" anchor="ctr"/>
              <a:lstStyle/>
              <a:p>
                <a:pPr algn="ctr">
                  <a:defRPr/>
                </a:pPr>
                <a:r>
                  <a:rPr lang="en-US" cap="none" sz="1600" b="1" i="0" u="none" baseline="0">
                    <a:solidFill>
                      <a:srgbClr val="000000"/>
                    </a:solidFill>
                  </a:rPr>
                  <a:t>Mix</a:t>
                </a:r>
              </a:p>
            </c:rich>
          </c:tx>
          <c:layout>
            <c:manualLayout>
              <c:xMode val="factor"/>
              <c:yMode val="factor"/>
              <c:x val="-0.014"/>
              <c:y val="0.00075"/>
            </c:manualLayout>
          </c:layout>
          <c:overlay val="0"/>
          <c:spPr>
            <a:noFill/>
            <a:ln w="3175">
              <a:noFill/>
            </a:ln>
          </c:spPr>
        </c:title>
        <c:delete val="0"/>
        <c:numFmt formatCode="General" sourceLinked="1"/>
        <c:majorTickMark val="out"/>
        <c:minorTickMark val="none"/>
        <c:tickLblPos val="low"/>
        <c:spPr>
          <a:ln w="3175">
            <a:solidFill>
              <a:srgbClr val="808080"/>
            </a:solidFill>
          </a:ln>
        </c:spPr>
        <c:txPr>
          <a:bodyPr vert="horz" rot="0"/>
          <a:lstStyle/>
          <a:p>
            <a:pPr>
              <a:defRPr lang="en-US" cap="none" sz="1600" b="0" i="0" u="none" baseline="0">
                <a:solidFill>
                  <a:srgbClr val="000000"/>
                </a:solidFill>
              </a:defRPr>
            </a:pPr>
          </a:p>
        </c:txPr>
        <c:crossAx val="6410628"/>
        <c:crosses val="autoZero"/>
        <c:auto val="1"/>
        <c:lblOffset val="100"/>
        <c:tickLblSkip val="1"/>
        <c:noMultiLvlLbl val="0"/>
      </c:catAx>
      <c:valAx>
        <c:axId val="6410628"/>
        <c:scaling>
          <c:orientation val="minMax"/>
        </c:scaling>
        <c:axPos val="l"/>
        <c:title>
          <c:tx>
            <c:rich>
              <a:bodyPr vert="horz" rot="-5400000" anchor="ctr"/>
              <a:lstStyle/>
              <a:p>
                <a:pPr algn="ctr">
                  <a:defRPr/>
                </a:pPr>
                <a:r>
                  <a:rPr lang="en-US" cap="none" sz="1600" b="1" i="0" u="none" baseline="0">
                    <a:solidFill>
                      <a:srgbClr val="000000"/>
                    </a:solidFill>
                  </a:rPr>
                  <a:t>kg CO</a:t>
                </a:r>
                <a:r>
                  <a:rPr lang="en-US" cap="none" sz="1600" b="1" i="0" u="none" baseline="-25000">
                    <a:solidFill>
                      <a:srgbClr val="000000"/>
                    </a:solidFill>
                  </a:rPr>
                  <a:t>2</a:t>
                </a:r>
                <a:r>
                  <a:rPr lang="en-US" cap="none" sz="1600" b="1" i="0" u="none" baseline="0">
                    <a:solidFill>
                      <a:srgbClr val="000000"/>
                    </a:solidFill>
                  </a:rPr>
                  <a:t> / m</a:t>
                </a:r>
                <a:r>
                  <a:rPr lang="en-US" cap="none" sz="1600" b="1" i="0" u="none" baseline="30000">
                    <a:solidFill>
                      <a:srgbClr val="000000"/>
                    </a:solidFill>
                  </a:rPr>
                  <a:t>3 </a:t>
                </a:r>
                <a:r>
                  <a:rPr lang="en-US" cap="none" sz="1600" b="1" i="0" u="none" baseline="0">
                    <a:solidFill>
                      <a:srgbClr val="000000"/>
                    </a:solidFill>
                  </a:rPr>
                  <a:t>Concrete </a:t>
                </a:r>
              </a:p>
            </c:rich>
          </c:tx>
          <c:layout>
            <c:manualLayout>
              <c:xMode val="factor"/>
              <c:yMode val="factor"/>
              <c:x val="-0.006"/>
              <c:y val="-0.0117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defRPr>
            </a:pPr>
          </a:p>
        </c:txPr>
        <c:crossAx val="52908075"/>
        <c:crossesAt val="1"/>
        <c:crossBetween val="between"/>
        <c:dispUnits/>
      </c:valAx>
      <c:spPr>
        <a:solidFill>
          <a:srgbClr val="FFFFFF"/>
        </a:solidFill>
        <a:ln w="3175">
          <a:noFill/>
        </a:ln>
      </c:spPr>
    </c:plotArea>
    <c:legend>
      <c:legendPos val="r"/>
      <c:layout>
        <c:manualLayout>
          <c:xMode val="edge"/>
          <c:yMode val="edge"/>
          <c:x val="0.89775"/>
          <c:y val="0.40975"/>
          <c:w val="0.07725"/>
          <c:h val="0.20675"/>
        </c:manualLayout>
      </c:layout>
      <c:overlay val="0"/>
      <c:spPr>
        <a:noFill/>
        <a:ln w="3175">
          <a:noFill/>
        </a:ln>
      </c:spPr>
      <c:txPr>
        <a:bodyPr vert="horz" rot="0"/>
        <a:lstStyle/>
        <a:p>
          <a:pPr>
            <a:defRPr lang="en-US" cap="none" sz="169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Mix 2 CO</a:t>
            </a:r>
            <a:r>
              <a:rPr lang="en-US" cap="none" sz="1800" b="1" i="0" u="none" baseline="-25000">
                <a:solidFill>
                  <a:srgbClr val="000000"/>
                </a:solidFill>
              </a:rPr>
              <a:t>2</a:t>
            </a:r>
            <a:r>
              <a:rPr lang="en-US" cap="none" sz="1800" b="1" i="0" u="none" baseline="0">
                <a:solidFill>
                  <a:srgbClr val="000000"/>
                </a:solidFill>
              </a:rPr>
              <a:t> Emissions Category Breakdown</a:t>
            </a:r>
          </a:p>
        </c:rich>
      </c:tx>
      <c:layout>
        <c:manualLayout>
          <c:xMode val="factor"/>
          <c:yMode val="factor"/>
          <c:x val="0.0655"/>
          <c:y val="0"/>
        </c:manualLayout>
      </c:layout>
      <c:spPr>
        <a:noFill/>
        <a:ln w="3175">
          <a:noFill/>
        </a:ln>
      </c:spPr>
    </c:title>
    <c:plotArea>
      <c:layout>
        <c:manualLayout>
          <c:xMode val="edge"/>
          <c:yMode val="edge"/>
          <c:x val="0.132"/>
          <c:y val="0.3185"/>
          <c:w val="0.45225"/>
          <c:h val="0.516"/>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0%" sourceLinked="0"/>
            <c:spPr>
              <a:noFill/>
              <a:ln w="3175">
                <a:noFill/>
              </a:ln>
            </c:spPr>
            <c:showLegendKey val="0"/>
            <c:showVal val="0"/>
            <c:showBubbleSize val="0"/>
            <c:showCatName val="0"/>
            <c:showSerName val="0"/>
            <c:showLeaderLines val="1"/>
            <c:showPercent val="1"/>
          </c:dLbls>
          <c:cat>
            <c:strRef>
              <c:f>'Mass Batching Model'!$L$8:$N$8</c:f>
              <c:strCache/>
            </c:strRef>
          </c:cat>
          <c:val>
            <c:numRef>
              <c:f>'Mass Batching Model'!$L$47:$N$47</c:f>
              <c:numCache/>
            </c:numRef>
          </c:val>
        </c:ser>
        <c:ser>
          <c:idx val="1"/>
          <c:order val="1"/>
          <c:spPr>
            <a:solidFill>
              <a:srgbClr val="993366"/>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numFmt formatCode="0%" sourceLinked="0"/>
            <c:spPr>
              <a:solidFill>
                <a:srgbClr val="FFFFFF"/>
              </a:solidFill>
              <a:ln w="3175">
                <a:solidFill>
                  <a:srgbClr val="000000"/>
                </a:solidFill>
              </a:ln>
            </c:spPr>
            <c:showLegendKey val="0"/>
            <c:showVal val="0"/>
            <c:showBubbleSize val="0"/>
            <c:showCatName val="0"/>
            <c:showSerName val="0"/>
            <c:showLeaderLines val="1"/>
            <c:showPercent val="1"/>
          </c:dLbls>
          <c:cat>
            <c:strRef>
              <c:f>'Mass Batching Model'!$L$8:$N$8</c:f>
              <c:strCache/>
            </c:strRef>
          </c:cat>
          <c:val>
            <c:numRef>
              <c:f>'Mass Batching Model'!$L$24:$N$24</c:f>
              <c:numCache/>
            </c:numRef>
          </c:val>
        </c:ser>
      </c:pieChart>
      <c:spPr>
        <a:noFill/>
        <a:ln>
          <a:noFill/>
        </a:ln>
      </c:spPr>
    </c:plotArea>
    <c:legend>
      <c:legendPos val="r"/>
      <c:layout>
        <c:manualLayout>
          <c:xMode val="edge"/>
          <c:yMode val="edge"/>
          <c:x val="0.664"/>
          <c:y val="0.2695"/>
          <c:w val="0.24925"/>
          <c:h val="0.5837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Mix 3 CO</a:t>
            </a:r>
            <a:r>
              <a:rPr lang="en-US" cap="none" sz="1800" b="1" i="0" u="none" baseline="-25000">
                <a:solidFill>
                  <a:srgbClr val="000000"/>
                </a:solidFill>
              </a:rPr>
              <a:t>2</a:t>
            </a:r>
            <a:r>
              <a:rPr lang="en-US" cap="none" sz="1800" b="1" i="0" u="none" baseline="0">
                <a:solidFill>
                  <a:srgbClr val="000000"/>
                </a:solidFill>
              </a:rPr>
              <a:t> Emissions Category Breakdown</a:t>
            </a:r>
          </a:p>
        </c:rich>
      </c:tx>
      <c:layout>
        <c:manualLayout>
          <c:xMode val="factor"/>
          <c:yMode val="factor"/>
          <c:x val="0.0655"/>
          <c:y val="0"/>
        </c:manualLayout>
      </c:layout>
      <c:spPr>
        <a:noFill/>
        <a:ln w="3175">
          <a:noFill/>
        </a:ln>
      </c:spPr>
    </c:title>
    <c:plotArea>
      <c:layout>
        <c:manualLayout>
          <c:xMode val="edge"/>
          <c:yMode val="edge"/>
          <c:x val="0.12025"/>
          <c:y val="0.2905"/>
          <c:w val="0.4705"/>
          <c:h val="0.541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0%" sourceLinked="0"/>
            <c:spPr>
              <a:noFill/>
              <a:ln w="3175">
                <a:noFill/>
              </a:ln>
            </c:spPr>
            <c:showLegendKey val="0"/>
            <c:showVal val="0"/>
            <c:showBubbleSize val="0"/>
            <c:showCatName val="0"/>
            <c:showSerName val="0"/>
            <c:showLeaderLines val="1"/>
            <c:showPercent val="1"/>
          </c:dLbls>
          <c:cat>
            <c:strRef>
              <c:f>'Mass Batching Model'!$L$8:$N$8</c:f>
              <c:strCache/>
            </c:strRef>
          </c:cat>
          <c:val>
            <c:numRef>
              <c:f>'Mass Batching Model'!$L$70:$N$70</c:f>
              <c:numCache/>
            </c:numRef>
          </c:val>
        </c:ser>
        <c:ser>
          <c:idx val="1"/>
          <c:order val="1"/>
          <c:spPr>
            <a:solidFill>
              <a:srgbClr val="993366"/>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numFmt formatCode="0%" sourceLinked="0"/>
            <c:spPr>
              <a:solidFill>
                <a:srgbClr val="FFFFFF"/>
              </a:solidFill>
              <a:ln w="3175">
                <a:solidFill>
                  <a:srgbClr val="000000"/>
                </a:solidFill>
              </a:ln>
            </c:spPr>
            <c:showLegendKey val="0"/>
            <c:showVal val="0"/>
            <c:showBubbleSize val="0"/>
            <c:showCatName val="0"/>
            <c:showSerName val="0"/>
            <c:showLeaderLines val="1"/>
            <c:showPercent val="1"/>
          </c:dLbls>
          <c:cat>
            <c:strRef>
              <c:f>'Mass Batching Model'!$L$8:$N$8</c:f>
              <c:strCache/>
            </c:strRef>
          </c:cat>
          <c:val>
            <c:numRef>
              <c:f>'Mass Batching Model'!$L$24:$N$24</c:f>
              <c:numCache/>
            </c:numRef>
          </c:val>
        </c:ser>
      </c:pieChart>
      <c:spPr>
        <a:noFill/>
        <a:ln>
          <a:noFill/>
        </a:ln>
      </c:spPr>
    </c:plotArea>
    <c:legend>
      <c:legendPos val="r"/>
      <c:layout>
        <c:manualLayout>
          <c:xMode val="edge"/>
          <c:yMode val="edge"/>
          <c:x val="0.6955"/>
          <c:y val="0.32025"/>
          <c:w val="0.19675"/>
          <c:h val="0.462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Mix 1 CO</a:t>
            </a:r>
            <a:r>
              <a:rPr lang="en-US" cap="none" sz="1800" b="1" i="0" u="none" baseline="-25000">
                <a:solidFill>
                  <a:srgbClr val="000000"/>
                </a:solidFill>
              </a:rPr>
              <a:t>2</a:t>
            </a:r>
            <a:r>
              <a:rPr lang="en-US" cap="none" sz="1800" b="1" i="0" u="none" baseline="0">
                <a:solidFill>
                  <a:srgbClr val="000000"/>
                </a:solidFill>
              </a:rPr>
              <a:t> Emissions Category Breakdown</a:t>
            </a:r>
          </a:p>
        </c:rich>
      </c:tx>
      <c:layout>
        <c:manualLayout>
          <c:xMode val="factor"/>
          <c:yMode val="factor"/>
          <c:x val="0.06275"/>
          <c:y val="0.003"/>
        </c:manualLayout>
      </c:layout>
      <c:spPr>
        <a:noFill/>
        <a:ln w="3175">
          <a:noFill/>
        </a:ln>
      </c:spPr>
    </c:title>
    <c:plotArea>
      <c:layout>
        <c:manualLayout>
          <c:xMode val="edge"/>
          <c:yMode val="edge"/>
          <c:x val="0.0645"/>
          <c:y val="0.3155"/>
          <c:w val="0.50675"/>
          <c:h val="0.5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0%" sourceLinked="0"/>
            <c:spPr>
              <a:noFill/>
              <a:ln w="3175">
                <a:noFill/>
              </a:ln>
            </c:spPr>
            <c:showLegendKey val="0"/>
            <c:showVal val="0"/>
            <c:showBubbleSize val="0"/>
            <c:showCatName val="0"/>
            <c:showSerName val="0"/>
            <c:showLeaderLines val="1"/>
            <c:showPercent val="1"/>
          </c:dLbls>
          <c:cat>
            <c:strRef>
              <c:f>'Volume Batching Model'!$L$8:$N$8</c:f>
              <c:strCache/>
            </c:strRef>
          </c:cat>
          <c:val>
            <c:numRef>
              <c:f>'Volume Batching Model'!$L$20:$N$20</c:f>
              <c:numCache/>
            </c:numRef>
          </c:val>
        </c:ser>
      </c:pieChart>
      <c:spPr>
        <a:noFill/>
        <a:ln>
          <a:noFill/>
        </a:ln>
      </c:spPr>
    </c:plotArea>
    <c:legend>
      <c:legendPos val="r"/>
      <c:layout>
        <c:manualLayout>
          <c:xMode val="edge"/>
          <c:yMode val="edge"/>
          <c:x val="0.6545"/>
          <c:y val="0.26125"/>
          <c:w val="0.22775"/>
          <c:h val="0.641"/>
        </c:manualLayout>
      </c:layout>
      <c:overlay val="0"/>
      <c:spPr>
        <a:noFill/>
        <a:ln w="3175">
          <a:noFill/>
        </a:ln>
      </c:spPr>
      <c:txPr>
        <a:bodyPr vert="horz" rot="0"/>
        <a:lstStyle/>
        <a:p>
          <a:pPr>
            <a:defRPr lang="en-US" cap="none" sz="1180" b="0" i="0" u="none" baseline="0">
              <a:solidFill>
                <a:srgbClr val="000000"/>
              </a:solidFil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Mix Design CO</a:t>
            </a:r>
            <a:r>
              <a:rPr lang="en-US" cap="none" sz="2000" b="1" i="0" u="none" baseline="-25000">
                <a:solidFill>
                  <a:srgbClr val="000000"/>
                </a:solidFill>
              </a:rPr>
              <a:t>2</a:t>
            </a:r>
            <a:r>
              <a:rPr lang="en-US" cap="none" sz="2000" b="1" i="0" u="none" baseline="0">
                <a:solidFill>
                  <a:srgbClr val="000000"/>
                </a:solidFill>
              </a:rPr>
              <a:t>e Emission Comparison</a:t>
            </a:r>
          </a:p>
        </c:rich>
      </c:tx>
      <c:layout>
        <c:manualLayout>
          <c:xMode val="factor"/>
          <c:yMode val="factor"/>
          <c:x val="-0.01025"/>
          <c:y val="0.00375"/>
        </c:manualLayout>
      </c:layout>
      <c:spPr>
        <a:noFill/>
        <a:ln w="3175">
          <a:noFill/>
        </a:ln>
      </c:spPr>
    </c:title>
    <c:view3D>
      <c:rotX val="15"/>
      <c:hPercent val="54"/>
      <c:rotY val="20"/>
      <c:depthPercent val="100"/>
      <c:rAngAx val="1"/>
    </c:view3D>
    <c:plotArea>
      <c:layout>
        <c:manualLayout>
          <c:xMode val="edge"/>
          <c:yMode val="edge"/>
          <c:x val="0.0275"/>
          <c:y val="0.10225"/>
          <c:w val="0.8885"/>
          <c:h val="0.8205"/>
        </c:manualLayout>
      </c:layout>
      <c:bar3DChart>
        <c:barDir val="col"/>
        <c:grouping val="stacked"/>
        <c:varyColors val="0"/>
        <c:ser>
          <c:idx val="0"/>
          <c:order val="0"/>
          <c:tx>
            <c:v>Scope 1</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200" b="0" i="0" u="none" baseline="0">
                    <a:solidFill>
                      <a:srgbClr val="000000"/>
                    </a:solidFill>
                  </a:defRPr>
                </a:pPr>
              </a:p>
            </c:txPr>
            <c:showLegendKey val="0"/>
            <c:showVal val="1"/>
            <c:showBubbleSize val="0"/>
            <c:showCatName val="0"/>
            <c:showSerName val="0"/>
            <c:showPercent val="0"/>
          </c:dLbls>
          <c:val>
            <c:numRef>
              <c:f>('Volume Batching Model'!$L$20,'Volume Batching Model'!$L$39,'Volume Batching Model'!$L$58)</c:f>
              <c:numCache/>
            </c:numRef>
          </c:val>
          <c:shape val="box"/>
        </c:ser>
        <c:ser>
          <c:idx val="1"/>
          <c:order val="1"/>
          <c:tx>
            <c:v>Scope 2</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200" b="0" i="0" u="none" baseline="0">
                    <a:solidFill>
                      <a:srgbClr val="000000"/>
                    </a:solidFill>
                  </a:defRPr>
                </a:pPr>
              </a:p>
            </c:txPr>
            <c:showLegendKey val="0"/>
            <c:showVal val="1"/>
            <c:showBubbleSize val="0"/>
            <c:showCatName val="0"/>
            <c:showSerName val="0"/>
            <c:showPercent val="0"/>
          </c:dLbls>
          <c:val>
            <c:numRef>
              <c:f>('Volume Batching Model'!$M$20,'Volume Batching Model'!$M$39,'Volume Batching Model'!$M$58)</c:f>
              <c:numCache/>
            </c:numRef>
          </c:val>
          <c:shape val="box"/>
        </c:ser>
        <c:ser>
          <c:idx val="2"/>
          <c:order val="2"/>
          <c:tx>
            <c:v>Scope 3</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200" b="0" i="0" u="none" baseline="0">
                    <a:solidFill>
                      <a:srgbClr val="000000"/>
                    </a:solidFill>
                  </a:defRPr>
                </a:pPr>
              </a:p>
            </c:txPr>
            <c:showLegendKey val="0"/>
            <c:showVal val="1"/>
            <c:showBubbleSize val="0"/>
            <c:showCatName val="0"/>
            <c:showSerName val="0"/>
            <c:showPercent val="0"/>
          </c:dLbls>
          <c:val>
            <c:numRef>
              <c:f>('Volume Batching Model'!$N$20,'Volume Batching Model'!$N$39,'Volume Batching Model'!$N$58)</c:f>
              <c:numCache/>
            </c:numRef>
          </c:val>
          <c:shape val="box"/>
        </c:ser>
        <c:overlap val="100"/>
        <c:shape val="box"/>
        <c:axId val="57695653"/>
        <c:axId val="49498830"/>
      </c:bar3DChart>
      <c:catAx>
        <c:axId val="57695653"/>
        <c:scaling>
          <c:orientation val="minMax"/>
        </c:scaling>
        <c:axPos val="b"/>
        <c:title>
          <c:tx>
            <c:rich>
              <a:bodyPr vert="horz" rot="0" anchor="ctr"/>
              <a:lstStyle/>
              <a:p>
                <a:pPr algn="ctr">
                  <a:defRPr/>
                </a:pPr>
                <a:r>
                  <a:rPr lang="en-US" cap="none" sz="1600" b="1" i="0" u="none" baseline="0">
                    <a:solidFill>
                      <a:srgbClr val="000000"/>
                    </a:solidFill>
                  </a:rPr>
                  <a:t>Mix</a:t>
                </a:r>
              </a:p>
            </c:rich>
          </c:tx>
          <c:layout>
            <c:manualLayout>
              <c:xMode val="factor"/>
              <c:yMode val="factor"/>
              <c:x val="-0.0315"/>
              <c:y val="0.04725"/>
            </c:manualLayout>
          </c:layout>
          <c:overlay val="0"/>
          <c:spPr>
            <a:noFill/>
            <a:ln w="3175">
              <a:noFill/>
            </a:ln>
          </c:spPr>
        </c:title>
        <c:delete val="0"/>
        <c:numFmt formatCode="General" sourceLinked="1"/>
        <c:majorTickMark val="out"/>
        <c:minorTickMark val="none"/>
        <c:tickLblPos val="low"/>
        <c:spPr>
          <a:ln w="3175">
            <a:solidFill>
              <a:srgbClr val="808080"/>
            </a:solidFill>
          </a:ln>
        </c:spPr>
        <c:txPr>
          <a:bodyPr vert="horz" rot="0"/>
          <a:lstStyle/>
          <a:p>
            <a:pPr>
              <a:defRPr lang="en-US" cap="none" sz="1600" b="0" i="0" u="none" baseline="0">
                <a:solidFill>
                  <a:srgbClr val="000000"/>
                </a:solidFill>
              </a:defRPr>
            </a:pPr>
          </a:p>
        </c:txPr>
        <c:crossAx val="49498830"/>
        <c:crosses val="autoZero"/>
        <c:auto val="1"/>
        <c:lblOffset val="100"/>
        <c:tickLblSkip val="1"/>
        <c:noMultiLvlLbl val="0"/>
      </c:catAx>
      <c:valAx>
        <c:axId val="49498830"/>
        <c:scaling>
          <c:orientation val="minMax"/>
        </c:scaling>
        <c:axPos val="l"/>
        <c:title>
          <c:tx>
            <c:rich>
              <a:bodyPr vert="horz" rot="-5400000" anchor="ctr"/>
              <a:lstStyle/>
              <a:p>
                <a:pPr algn="ctr">
                  <a:defRPr/>
                </a:pPr>
                <a:r>
                  <a:rPr lang="en-US" cap="none" sz="1600" b="1" i="0" u="none" baseline="0">
                    <a:solidFill>
                      <a:srgbClr val="000000"/>
                    </a:solidFill>
                  </a:rPr>
                  <a:t>kg CO</a:t>
                </a:r>
                <a:r>
                  <a:rPr lang="en-US" cap="none" sz="1600" b="1" i="0" u="none" baseline="-25000">
                    <a:solidFill>
                      <a:srgbClr val="000000"/>
                    </a:solidFill>
                  </a:rPr>
                  <a:t>2</a:t>
                </a:r>
                <a:r>
                  <a:rPr lang="en-US" cap="none" sz="1600" b="1" i="0" u="none" baseline="0">
                    <a:solidFill>
                      <a:srgbClr val="000000"/>
                    </a:solidFill>
                  </a:rPr>
                  <a:t> / m</a:t>
                </a:r>
                <a:r>
                  <a:rPr lang="en-US" cap="none" sz="1600" b="1" i="0" u="none" baseline="30000">
                    <a:solidFill>
                      <a:srgbClr val="000000"/>
                    </a:solidFill>
                  </a:rPr>
                  <a:t>3 </a:t>
                </a:r>
                <a:r>
                  <a:rPr lang="en-US" cap="none" sz="1600" b="1" i="0" u="none" baseline="0">
                    <a:solidFill>
                      <a:srgbClr val="000000"/>
                    </a:solidFill>
                  </a:rPr>
                  <a:t>Concrete</a:t>
                </a:r>
              </a:p>
            </c:rich>
          </c:tx>
          <c:layout>
            <c:manualLayout>
              <c:xMode val="factor"/>
              <c:yMode val="factor"/>
              <c:x val="-0.113"/>
              <c:y val="0.0867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defRPr>
            </a:pPr>
          </a:p>
        </c:txPr>
        <c:crossAx val="57695653"/>
        <c:crossesAt val="1"/>
        <c:crossBetween val="between"/>
        <c:dispUnits/>
      </c:valAx>
      <c:spPr>
        <a:noFill/>
        <a:ln>
          <a:noFill/>
        </a:ln>
      </c:spPr>
    </c:plotArea>
    <c:legend>
      <c:legendPos val="r"/>
      <c:layout>
        <c:manualLayout>
          <c:xMode val="edge"/>
          <c:yMode val="edge"/>
          <c:x val="0.8145"/>
          <c:y val="0.46975"/>
          <c:w val="0.07875"/>
          <c:h val="0.2095"/>
        </c:manualLayout>
      </c:layout>
      <c:overlay val="0"/>
      <c:spPr>
        <a:noFill/>
        <a:ln w="3175">
          <a:noFill/>
        </a:ln>
      </c:spPr>
      <c:txPr>
        <a:bodyPr vert="horz" rot="0"/>
        <a:lstStyle/>
        <a:p>
          <a:pPr>
            <a:defRPr lang="en-US" cap="none" sz="169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Mix 2 CO</a:t>
            </a:r>
            <a:r>
              <a:rPr lang="en-US" cap="none" sz="1800" b="1" i="0" u="none" baseline="-25000">
                <a:solidFill>
                  <a:srgbClr val="000000"/>
                </a:solidFill>
              </a:rPr>
              <a:t>2</a:t>
            </a:r>
            <a:r>
              <a:rPr lang="en-US" cap="none" sz="1800" b="1" i="0" u="none" baseline="0">
                <a:solidFill>
                  <a:srgbClr val="000000"/>
                </a:solidFill>
              </a:rPr>
              <a:t> Emissions Category Breakdown</a:t>
            </a:r>
          </a:p>
        </c:rich>
      </c:tx>
      <c:layout>
        <c:manualLayout>
          <c:xMode val="factor"/>
          <c:yMode val="factor"/>
          <c:x val="0.06625"/>
          <c:y val="0"/>
        </c:manualLayout>
      </c:layout>
      <c:spPr>
        <a:noFill/>
        <a:ln w="3175">
          <a:noFill/>
        </a:ln>
      </c:spPr>
    </c:title>
    <c:plotArea>
      <c:layout>
        <c:manualLayout>
          <c:xMode val="edge"/>
          <c:yMode val="edge"/>
          <c:x val="0.1025"/>
          <c:y val="0.3375"/>
          <c:w val="0.456"/>
          <c:h val="0.527"/>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0%" sourceLinked="0"/>
            <c:spPr>
              <a:noFill/>
              <a:ln w="3175">
                <a:noFill/>
              </a:ln>
            </c:spPr>
            <c:showLegendKey val="0"/>
            <c:showVal val="0"/>
            <c:showBubbleSize val="0"/>
            <c:showCatName val="0"/>
            <c:showSerName val="0"/>
            <c:showLeaderLines val="1"/>
            <c:showPercent val="1"/>
          </c:dLbls>
          <c:cat>
            <c:strRef>
              <c:f>'Volume Batching Model'!$L$8:$N$8</c:f>
              <c:strCache/>
            </c:strRef>
          </c:cat>
          <c:val>
            <c:numRef>
              <c:f>'Volume Batching Model'!$L$39:$N$39</c:f>
              <c:numCache/>
            </c:numRef>
          </c:val>
        </c:ser>
      </c:pieChart>
      <c:spPr>
        <a:noFill/>
        <a:ln>
          <a:noFill/>
        </a:ln>
      </c:spPr>
    </c:plotArea>
    <c:legend>
      <c:legendPos val="r"/>
      <c:layout>
        <c:manualLayout>
          <c:xMode val="edge"/>
          <c:yMode val="edge"/>
          <c:x val="0.6085"/>
          <c:y val="0.318"/>
          <c:w val="0.29375"/>
          <c:h val="0.5505"/>
        </c:manualLayout>
      </c:layout>
      <c:overlay val="0"/>
      <c:spPr>
        <a:noFill/>
        <a:ln w="3175">
          <a:noFill/>
        </a:ln>
      </c:spPr>
      <c:txPr>
        <a:bodyPr vert="horz" rot="0"/>
        <a:lstStyle/>
        <a:p>
          <a:pPr>
            <a:defRPr lang="en-US" cap="none" sz="1180" b="0" i="0" u="none" baseline="0">
              <a:solidFill>
                <a:srgbClr val="000000"/>
              </a:solidFil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Mix 3 CO</a:t>
            </a:r>
            <a:r>
              <a:rPr lang="en-US" cap="none" sz="1800" b="1" i="0" u="none" baseline="-25000">
                <a:solidFill>
                  <a:srgbClr val="000000"/>
                </a:solidFill>
              </a:rPr>
              <a:t>2</a:t>
            </a:r>
            <a:r>
              <a:rPr lang="en-US" cap="none" sz="1800" b="1" i="0" u="none" baseline="0">
                <a:solidFill>
                  <a:srgbClr val="000000"/>
                </a:solidFill>
              </a:rPr>
              <a:t> Emissions Category Breakdown</a:t>
            </a:r>
          </a:p>
        </c:rich>
      </c:tx>
      <c:layout>
        <c:manualLayout>
          <c:xMode val="factor"/>
          <c:yMode val="factor"/>
          <c:x val="0.06575"/>
          <c:y val="0"/>
        </c:manualLayout>
      </c:layout>
      <c:spPr>
        <a:noFill/>
        <a:ln w="3175">
          <a:noFill/>
        </a:ln>
      </c:spPr>
    </c:title>
    <c:plotArea>
      <c:layout>
        <c:manualLayout>
          <c:xMode val="edge"/>
          <c:yMode val="edge"/>
          <c:x val="0.09125"/>
          <c:y val="0.31675"/>
          <c:w val="0.484"/>
          <c:h val="0.566"/>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0%" sourceLinked="0"/>
            <c:spPr>
              <a:noFill/>
              <a:ln w="3175">
                <a:noFill/>
              </a:ln>
            </c:spPr>
            <c:showLegendKey val="0"/>
            <c:showVal val="0"/>
            <c:showBubbleSize val="0"/>
            <c:showCatName val="0"/>
            <c:showSerName val="0"/>
            <c:showLeaderLines val="1"/>
            <c:showPercent val="1"/>
          </c:dLbls>
          <c:cat>
            <c:strRef>
              <c:f>'Volume Batching Model'!$L$8:$N$8</c:f>
              <c:strCache/>
            </c:strRef>
          </c:cat>
          <c:val>
            <c:numRef>
              <c:f>'Volume Batching Model'!$L$58:$N$58</c:f>
              <c:numCache/>
            </c:numRef>
          </c:val>
        </c:ser>
      </c:pieChart>
      <c:spPr>
        <a:noFill/>
        <a:ln>
          <a:noFill/>
        </a:ln>
      </c:spPr>
    </c:plotArea>
    <c:legend>
      <c:legendPos val="r"/>
      <c:layout>
        <c:manualLayout>
          <c:xMode val="edge"/>
          <c:yMode val="edge"/>
          <c:x val="0.608"/>
          <c:y val="0.3355"/>
          <c:w val="0.292"/>
          <c:h val="0.5415"/>
        </c:manualLayout>
      </c:layout>
      <c:overlay val="0"/>
      <c:spPr>
        <a:noFill/>
        <a:ln w="3175">
          <a:noFill/>
        </a:ln>
      </c:spPr>
      <c:txPr>
        <a:bodyPr vert="horz" rot="0"/>
        <a:lstStyle/>
        <a:p>
          <a:pPr>
            <a:defRPr lang="en-US" cap="none" sz="1180" b="0" i="0" u="none" baseline="0">
              <a:solidFill>
                <a:srgbClr val="000000"/>
              </a:solidFil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CO</a:t>
            </a:r>
            <a:r>
              <a:rPr lang="en-US" cap="none" sz="1800" b="1" i="0" u="none" baseline="-25000">
                <a:solidFill>
                  <a:srgbClr val="000000"/>
                </a:solidFill>
              </a:rPr>
              <a:t>2</a:t>
            </a:r>
            <a:r>
              <a:rPr lang="en-US" cap="none" sz="1800" b="1" i="0" u="none" baseline="0">
                <a:solidFill>
                  <a:srgbClr val="000000"/>
                </a:solidFill>
              </a:rPr>
              <a:t> emission types associated with 
</a:t>
            </a:r>
            <a:r>
              <a:rPr lang="en-US" cap="none" sz="1800" b="1" i="0" u="none" baseline="0">
                <a:solidFill>
                  <a:srgbClr val="000000"/>
                </a:solidFill>
              </a:rPr>
              <a:t>Water </a:t>
            </a:r>
          </a:p>
        </c:rich>
      </c:tx>
      <c:layout>
        <c:manualLayout>
          <c:xMode val="factor"/>
          <c:yMode val="factor"/>
          <c:x val="-0.002"/>
          <c:y val="-0.01075"/>
        </c:manualLayout>
      </c:layout>
      <c:spPr>
        <a:noFill/>
        <a:ln w="3175">
          <a:noFill/>
        </a:ln>
      </c:spPr>
    </c:title>
    <c:plotArea>
      <c:layout>
        <c:manualLayout>
          <c:xMode val="edge"/>
          <c:yMode val="edge"/>
          <c:x val="0.25575"/>
          <c:y val="0.33325"/>
          <c:w val="0.3395"/>
          <c:h val="0.5725"/>
        </c:manualLayout>
      </c:layout>
      <c:pieChart>
        <c:varyColors val="1"/>
        <c:ser>
          <c:idx val="1"/>
          <c:order val="0"/>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dLblPos val="outEnd"/>
            <c:showLegendKey val="0"/>
            <c:showVal val="1"/>
            <c:showBubbleSize val="0"/>
            <c:showCatName val="0"/>
            <c:showSerName val="0"/>
            <c:showLeaderLines val="1"/>
            <c:showPercent val="0"/>
          </c:dLbls>
          <c:cat>
            <c:strRef>
              <c:f>'Pie Charts'!$B$3:$C$3</c:f>
              <c:strCache/>
            </c:strRef>
          </c:cat>
          <c:val>
            <c:numRef>
              <c:f>'Pie Charts'!$B$4:$C$4</c:f>
              <c:numCache/>
            </c:numRef>
          </c:val>
        </c:ser>
      </c:pieChart>
      <c:spPr>
        <a:noFill/>
        <a:ln>
          <a:noFill/>
        </a:ln>
      </c:spPr>
    </c:plotArea>
    <c:legend>
      <c:legendPos val="r"/>
      <c:layout>
        <c:manualLayout>
          <c:xMode val="edge"/>
          <c:yMode val="edge"/>
          <c:x val="0.862"/>
          <c:y val="0.54125"/>
          <c:w val="0.1275"/>
          <c:h val="0.157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jpeg"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3.jpeg"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image" Target="../media/image4.jpeg" /></Relationships>
</file>

<file path=xl/drawings/_rels/drawing7.xml.rels><?xml version="1.0" encoding="utf-8" standalone="yes"?><Relationships xmlns="http://schemas.openxmlformats.org/package/2006/relationships"><Relationship Id="rId1" Type="http://schemas.openxmlformats.org/officeDocument/2006/relationships/image" Target="../media/image4.jpeg" /></Relationships>
</file>

<file path=xl/drawings/_rels/drawing8.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 Id="rId5" Type="http://schemas.openxmlformats.org/officeDocument/2006/relationships/chart" Target="/xl/charts/chart13.xml" /><Relationship Id="rId6" Type="http://schemas.openxmlformats.org/officeDocument/2006/relationships/chart" Target="/xl/charts/chart14.xml" /><Relationship Id="rId7" Type="http://schemas.openxmlformats.org/officeDocument/2006/relationships/chart" Target="/xl/charts/chart15.xml" /><Relationship Id="rId8" Type="http://schemas.openxmlformats.org/officeDocument/2006/relationships/chart" Target="/xl/charts/chart1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2</xdr:col>
      <xdr:colOff>247650</xdr:colOff>
      <xdr:row>0</xdr:row>
      <xdr:rowOff>447675</xdr:rowOff>
    </xdr:to>
    <xdr:pic>
      <xdr:nvPicPr>
        <xdr:cNvPr id="1" name="Picture 44" descr="InEnergy_Logo_Letterhead"/>
        <xdr:cNvPicPr preferRelativeResize="1">
          <a:picLocks noChangeAspect="1"/>
        </xdr:cNvPicPr>
      </xdr:nvPicPr>
      <xdr:blipFill>
        <a:blip r:embed="rId1"/>
        <a:stretch>
          <a:fillRect/>
        </a:stretch>
      </xdr:blipFill>
      <xdr:spPr>
        <a:xfrm>
          <a:off x="28575" y="19050"/>
          <a:ext cx="143827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2</xdr:col>
      <xdr:colOff>276225</xdr:colOff>
      <xdr:row>0</xdr:row>
      <xdr:rowOff>447675</xdr:rowOff>
    </xdr:to>
    <xdr:pic>
      <xdr:nvPicPr>
        <xdr:cNvPr id="1" name="Picture 44" descr="InEnergy_Logo_Letterhead"/>
        <xdr:cNvPicPr preferRelativeResize="1">
          <a:picLocks noChangeAspect="1"/>
        </xdr:cNvPicPr>
      </xdr:nvPicPr>
      <xdr:blipFill>
        <a:blip r:embed="rId1"/>
        <a:stretch>
          <a:fillRect/>
        </a:stretch>
      </xdr:blipFill>
      <xdr:spPr>
        <a:xfrm>
          <a:off x="19050" y="19050"/>
          <a:ext cx="143827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209550</xdr:colOff>
      <xdr:row>4</xdr:row>
      <xdr:rowOff>190500</xdr:rowOff>
    </xdr:from>
    <xdr:to>
      <xdr:col>17</xdr:col>
      <xdr:colOff>1162050</xdr:colOff>
      <xdr:row>23</xdr:row>
      <xdr:rowOff>200025</xdr:rowOff>
    </xdr:to>
    <xdr:graphicFrame>
      <xdr:nvGraphicFramePr>
        <xdr:cNvPr id="1" name="Chart 45"/>
        <xdr:cNvGraphicFramePr/>
      </xdr:nvGraphicFramePr>
      <xdr:xfrm>
        <a:off x="10172700" y="1552575"/>
        <a:ext cx="3724275" cy="31242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0</xdr:row>
      <xdr:rowOff>57150</xdr:rowOff>
    </xdr:from>
    <xdr:to>
      <xdr:col>2</xdr:col>
      <xdr:colOff>285750</xdr:colOff>
      <xdr:row>0</xdr:row>
      <xdr:rowOff>695325</xdr:rowOff>
    </xdr:to>
    <xdr:pic>
      <xdr:nvPicPr>
        <xdr:cNvPr id="2" name="Picture 44" descr="InEnergy_Logo_Letterhead"/>
        <xdr:cNvPicPr preferRelativeResize="1">
          <a:picLocks noChangeAspect="1"/>
        </xdr:cNvPicPr>
      </xdr:nvPicPr>
      <xdr:blipFill>
        <a:blip r:embed="rId2"/>
        <a:stretch>
          <a:fillRect/>
        </a:stretch>
      </xdr:blipFill>
      <xdr:spPr>
        <a:xfrm>
          <a:off x="76200" y="57150"/>
          <a:ext cx="2190750" cy="638175"/>
        </a:xfrm>
        <a:prstGeom prst="rect">
          <a:avLst/>
        </a:prstGeom>
        <a:noFill/>
        <a:ln w="9525" cmpd="sng">
          <a:noFill/>
        </a:ln>
      </xdr:spPr>
    </xdr:pic>
    <xdr:clientData/>
  </xdr:twoCellAnchor>
  <xdr:twoCellAnchor>
    <xdr:from>
      <xdr:col>0</xdr:col>
      <xdr:colOff>114300</xdr:colOff>
      <xdr:row>75</xdr:row>
      <xdr:rowOff>133350</xdr:rowOff>
    </xdr:from>
    <xdr:to>
      <xdr:col>17</xdr:col>
      <xdr:colOff>1123950</xdr:colOff>
      <xdr:row>85</xdr:row>
      <xdr:rowOff>1200150</xdr:rowOff>
    </xdr:to>
    <xdr:graphicFrame>
      <xdr:nvGraphicFramePr>
        <xdr:cNvPr id="3" name="Chart 48"/>
        <xdr:cNvGraphicFramePr/>
      </xdr:nvGraphicFramePr>
      <xdr:xfrm>
        <a:off x="114300" y="13954125"/>
        <a:ext cx="13744575" cy="5200650"/>
      </xdr:xfrm>
      <a:graphic>
        <a:graphicData uri="http://schemas.openxmlformats.org/drawingml/2006/chart">
          <c:chart xmlns:c="http://schemas.openxmlformats.org/drawingml/2006/chart" r:id="rId3"/>
        </a:graphicData>
      </a:graphic>
    </xdr:graphicFrame>
    <xdr:clientData/>
  </xdr:twoCellAnchor>
  <xdr:twoCellAnchor>
    <xdr:from>
      <xdr:col>15</xdr:col>
      <xdr:colOff>0</xdr:colOff>
      <xdr:row>28</xdr:row>
      <xdr:rowOff>0</xdr:rowOff>
    </xdr:from>
    <xdr:to>
      <xdr:col>17</xdr:col>
      <xdr:colOff>1162050</xdr:colOff>
      <xdr:row>47</xdr:row>
      <xdr:rowOff>28575</xdr:rowOff>
    </xdr:to>
    <xdr:graphicFrame>
      <xdr:nvGraphicFramePr>
        <xdr:cNvPr id="4" name="Chart 1137"/>
        <xdr:cNvGraphicFramePr/>
      </xdr:nvGraphicFramePr>
      <xdr:xfrm>
        <a:off x="10191750" y="5562600"/>
        <a:ext cx="3705225" cy="3248025"/>
      </xdr:xfrm>
      <a:graphic>
        <a:graphicData uri="http://schemas.openxmlformats.org/drawingml/2006/chart">
          <c:chart xmlns:c="http://schemas.openxmlformats.org/drawingml/2006/chart" r:id="rId4"/>
        </a:graphicData>
      </a:graphic>
    </xdr:graphicFrame>
    <xdr:clientData/>
  </xdr:twoCellAnchor>
  <xdr:twoCellAnchor>
    <xdr:from>
      <xdr:col>15</xdr:col>
      <xdr:colOff>0</xdr:colOff>
      <xdr:row>51</xdr:row>
      <xdr:rowOff>0</xdr:rowOff>
    </xdr:from>
    <xdr:to>
      <xdr:col>17</xdr:col>
      <xdr:colOff>1162050</xdr:colOff>
      <xdr:row>70</xdr:row>
      <xdr:rowOff>28575</xdr:rowOff>
    </xdr:to>
    <xdr:graphicFrame>
      <xdr:nvGraphicFramePr>
        <xdr:cNvPr id="5" name="Chart 1138"/>
        <xdr:cNvGraphicFramePr/>
      </xdr:nvGraphicFramePr>
      <xdr:xfrm>
        <a:off x="10191750" y="9620250"/>
        <a:ext cx="3705225" cy="3209925"/>
      </xdr:xfrm>
      <a:graphic>
        <a:graphicData uri="http://schemas.openxmlformats.org/drawingml/2006/chart">
          <c:chart xmlns:c="http://schemas.openxmlformats.org/drawingml/2006/chart" r:id="rId5"/>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2</xdr:col>
      <xdr:colOff>276225</xdr:colOff>
      <xdr:row>0</xdr:row>
      <xdr:rowOff>447675</xdr:rowOff>
    </xdr:to>
    <xdr:pic>
      <xdr:nvPicPr>
        <xdr:cNvPr id="1" name="Picture 44" descr="InEnergy_Logo_Letterhead"/>
        <xdr:cNvPicPr preferRelativeResize="1">
          <a:picLocks noChangeAspect="1"/>
        </xdr:cNvPicPr>
      </xdr:nvPicPr>
      <xdr:blipFill>
        <a:blip r:embed="rId1"/>
        <a:stretch>
          <a:fillRect/>
        </a:stretch>
      </xdr:blipFill>
      <xdr:spPr>
        <a:xfrm>
          <a:off x="19050" y="19050"/>
          <a:ext cx="1438275" cy="428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114300</xdr:colOff>
      <xdr:row>4</xdr:row>
      <xdr:rowOff>180975</xdr:rowOff>
    </xdr:from>
    <xdr:to>
      <xdr:col>18</xdr:col>
      <xdr:colOff>19050</xdr:colOff>
      <xdr:row>20</xdr:row>
      <xdr:rowOff>0</xdr:rowOff>
    </xdr:to>
    <xdr:graphicFrame>
      <xdr:nvGraphicFramePr>
        <xdr:cNvPr id="1" name="Chart 45"/>
        <xdr:cNvGraphicFramePr/>
      </xdr:nvGraphicFramePr>
      <xdr:xfrm>
        <a:off x="10620375" y="1543050"/>
        <a:ext cx="3733800" cy="32766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0</xdr:row>
      <xdr:rowOff>57150</xdr:rowOff>
    </xdr:from>
    <xdr:to>
      <xdr:col>2</xdr:col>
      <xdr:colOff>9525</xdr:colOff>
      <xdr:row>0</xdr:row>
      <xdr:rowOff>695325</xdr:rowOff>
    </xdr:to>
    <xdr:pic>
      <xdr:nvPicPr>
        <xdr:cNvPr id="2" name="Picture 44" descr="InEnergy_Logo_Letterhead"/>
        <xdr:cNvPicPr preferRelativeResize="1">
          <a:picLocks noChangeAspect="1"/>
        </xdr:cNvPicPr>
      </xdr:nvPicPr>
      <xdr:blipFill>
        <a:blip r:embed="rId2"/>
        <a:stretch>
          <a:fillRect/>
        </a:stretch>
      </xdr:blipFill>
      <xdr:spPr>
        <a:xfrm>
          <a:off x="76200" y="57150"/>
          <a:ext cx="2190750" cy="638175"/>
        </a:xfrm>
        <a:prstGeom prst="rect">
          <a:avLst/>
        </a:prstGeom>
        <a:noFill/>
        <a:ln w="9525" cmpd="sng">
          <a:noFill/>
        </a:ln>
      </xdr:spPr>
    </xdr:pic>
    <xdr:clientData/>
  </xdr:twoCellAnchor>
  <xdr:twoCellAnchor>
    <xdr:from>
      <xdr:col>0</xdr:col>
      <xdr:colOff>171450</xdr:colOff>
      <xdr:row>61</xdr:row>
      <xdr:rowOff>152400</xdr:rowOff>
    </xdr:from>
    <xdr:to>
      <xdr:col>17</xdr:col>
      <xdr:colOff>1352550</xdr:colOff>
      <xdr:row>72</xdr:row>
      <xdr:rowOff>2257425</xdr:rowOff>
    </xdr:to>
    <xdr:graphicFrame>
      <xdr:nvGraphicFramePr>
        <xdr:cNvPr id="3" name="Chart 48"/>
        <xdr:cNvGraphicFramePr/>
      </xdr:nvGraphicFramePr>
      <xdr:xfrm>
        <a:off x="171450" y="13696950"/>
        <a:ext cx="14011275" cy="5143500"/>
      </xdr:xfrm>
      <a:graphic>
        <a:graphicData uri="http://schemas.openxmlformats.org/drawingml/2006/chart">
          <c:chart xmlns:c="http://schemas.openxmlformats.org/drawingml/2006/chart" r:id="rId3"/>
        </a:graphicData>
      </a:graphic>
    </xdr:graphicFrame>
    <xdr:clientData/>
  </xdr:twoCellAnchor>
  <xdr:twoCellAnchor>
    <xdr:from>
      <xdr:col>15</xdr:col>
      <xdr:colOff>0</xdr:colOff>
      <xdr:row>24</xdr:row>
      <xdr:rowOff>0</xdr:rowOff>
    </xdr:from>
    <xdr:to>
      <xdr:col>18</xdr:col>
      <xdr:colOff>0</xdr:colOff>
      <xdr:row>38</xdr:row>
      <xdr:rowOff>209550</xdr:rowOff>
    </xdr:to>
    <xdr:graphicFrame>
      <xdr:nvGraphicFramePr>
        <xdr:cNvPr id="4" name="Chart 1055"/>
        <xdr:cNvGraphicFramePr/>
      </xdr:nvGraphicFramePr>
      <xdr:xfrm>
        <a:off x="10639425" y="5657850"/>
        <a:ext cx="3695700" cy="3171825"/>
      </xdr:xfrm>
      <a:graphic>
        <a:graphicData uri="http://schemas.openxmlformats.org/drawingml/2006/chart">
          <c:chart xmlns:c="http://schemas.openxmlformats.org/drawingml/2006/chart" r:id="rId4"/>
        </a:graphicData>
      </a:graphic>
    </xdr:graphicFrame>
    <xdr:clientData/>
  </xdr:twoCellAnchor>
  <xdr:twoCellAnchor>
    <xdr:from>
      <xdr:col>15</xdr:col>
      <xdr:colOff>0</xdr:colOff>
      <xdr:row>43</xdr:row>
      <xdr:rowOff>0</xdr:rowOff>
    </xdr:from>
    <xdr:to>
      <xdr:col>18</xdr:col>
      <xdr:colOff>19050</xdr:colOff>
      <xdr:row>57</xdr:row>
      <xdr:rowOff>209550</xdr:rowOff>
    </xdr:to>
    <xdr:graphicFrame>
      <xdr:nvGraphicFramePr>
        <xdr:cNvPr id="5" name="Chart 1056"/>
        <xdr:cNvGraphicFramePr/>
      </xdr:nvGraphicFramePr>
      <xdr:xfrm>
        <a:off x="10639425" y="9705975"/>
        <a:ext cx="3714750" cy="3162300"/>
      </xdr:xfrm>
      <a:graphic>
        <a:graphicData uri="http://schemas.openxmlformats.org/drawingml/2006/chart">
          <c:chart xmlns:c="http://schemas.openxmlformats.org/drawingml/2006/chart" r:id="rId5"/>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19050</xdr:rowOff>
    </xdr:from>
    <xdr:to>
      <xdr:col>2</xdr:col>
      <xdr:colOff>257175</xdr:colOff>
      <xdr:row>0</xdr:row>
      <xdr:rowOff>447675</xdr:rowOff>
    </xdr:to>
    <xdr:pic>
      <xdr:nvPicPr>
        <xdr:cNvPr id="1" name="Picture 44" descr="InEnergy_Logo_Letterhead"/>
        <xdr:cNvPicPr preferRelativeResize="1">
          <a:picLocks noChangeAspect="1"/>
        </xdr:cNvPicPr>
      </xdr:nvPicPr>
      <xdr:blipFill>
        <a:blip r:embed="rId1"/>
        <a:stretch>
          <a:fillRect/>
        </a:stretch>
      </xdr:blipFill>
      <xdr:spPr>
        <a:xfrm>
          <a:off x="38100" y="19050"/>
          <a:ext cx="1438275" cy="428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57150</xdr:colOff>
      <xdr:row>0</xdr:row>
      <xdr:rowOff>438150</xdr:rowOff>
    </xdr:to>
    <xdr:pic>
      <xdr:nvPicPr>
        <xdr:cNvPr id="1" name="Picture 44" descr="InEnergy_Logo_Letterhead"/>
        <xdr:cNvPicPr preferRelativeResize="1">
          <a:picLocks noChangeAspect="1"/>
        </xdr:cNvPicPr>
      </xdr:nvPicPr>
      <xdr:blipFill>
        <a:blip r:embed="rId1"/>
        <a:stretch>
          <a:fillRect/>
        </a:stretch>
      </xdr:blipFill>
      <xdr:spPr>
        <a:xfrm>
          <a:off x="28575" y="9525"/>
          <a:ext cx="1247775" cy="4286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0</xdr:row>
      <xdr:rowOff>133350</xdr:rowOff>
    </xdr:from>
    <xdr:to>
      <xdr:col>12</xdr:col>
      <xdr:colOff>266700</xdr:colOff>
      <xdr:row>17</xdr:row>
      <xdr:rowOff>123825</xdr:rowOff>
    </xdr:to>
    <xdr:graphicFrame>
      <xdr:nvGraphicFramePr>
        <xdr:cNvPr id="1" name="Chart 1"/>
        <xdr:cNvGraphicFramePr/>
      </xdr:nvGraphicFramePr>
      <xdr:xfrm>
        <a:off x="3514725" y="133350"/>
        <a:ext cx="4572000" cy="274320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20</xdr:row>
      <xdr:rowOff>0</xdr:rowOff>
    </xdr:from>
    <xdr:to>
      <xdr:col>12</xdr:col>
      <xdr:colOff>304800</xdr:colOff>
      <xdr:row>36</xdr:row>
      <xdr:rowOff>152400</xdr:rowOff>
    </xdr:to>
    <xdr:graphicFrame>
      <xdr:nvGraphicFramePr>
        <xdr:cNvPr id="2" name="Chart 2"/>
        <xdr:cNvGraphicFramePr/>
      </xdr:nvGraphicFramePr>
      <xdr:xfrm>
        <a:off x="3552825" y="3238500"/>
        <a:ext cx="4572000" cy="274320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39</xdr:row>
      <xdr:rowOff>0</xdr:rowOff>
    </xdr:from>
    <xdr:to>
      <xdr:col>12</xdr:col>
      <xdr:colOff>304800</xdr:colOff>
      <xdr:row>55</xdr:row>
      <xdr:rowOff>152400</xdr:rowOff>
    </xdr:to>
    <xdr:graphicFrame>
      <xdr:nvGraphicFramePr>
        <xdr:cNvPr id="3" name="Chart 3"/>
        <xdr:cNvGraphicFramePr/>
      </xdr:nvGraphicFramePr>
      <xdr:xfrm>
        <a:off x="3552825" y="6315075"/>
        <a:ext cx="4572000" cy="2743200"/>
      </xdr:xfrm>
      <a:graphic>
        <a:graphicData uri="http://schemas.openxmlformats.org/drawingml/2006/chart">
          <c:chart xmlns:c="http://schemas.openxmlformats.org/drawingml/2006/chart" r:id="rId3"/>
        </a:graphicData>
      </a:graphic>
    </xdr:graphicFrame>
    <xdr:clientData/>
  </xdr:twoCellAnchor>
  <xdr:twoCellAnchor>
    <xdr:from>
      <xdr:col>5</xdr:col>
      <xdr:colOff>0</xdr:colOff>
      <xdr:row>58</xdr:row>
      <xdr:rowOff>0</xdr:rowOff>
    </xdr:from>
    <xdr:to>
      <xdr:col>12</xdr:col>
      <xdr:colOff>304800</xdr:colOff>
      <xdr:row>74</xdr:row>
      <xdr:rowOff>152400</xdr:rowOff>
    </xdr:to>
    <xdr:graphicFrame>
      <xdr:nvGraphicFramePr>
        <xdr:cNvPr id="4" name="Chart 4"/>
        <xdr:cNvGraphicFramePr/>
      </xdr:nvGraphicFramePr>
      <xdr:xfrm>
        <a:off x="3552825" y="9391650"/>
        <a:ext cx="4572000" cy="2743200"/>
      </xdr:xfrm>
      <a:graphic>
        <a:graphicData uri="http://schemas.openxmlformats.org/drawingml/2006/chart">
          <c:chart xmlns:c="http://schemas.openxmlformats.org/drawingml/2006/chart" r:id="rId4"/>
        </a:graphicData>
      </a:graphic>
    </xdr:graphicFrame>
    <xdr:clientData/>
  </xdr:twoCellAnchor>
  <xdr:twoCellAnchor>
    <xdr:from>
      <xdr:col>5</xdr:col>
      <xdr:colOff>0</xdr:colOff>
      <xdr:row>77</xdr:row>
      <xdr:rowOff>0</xdr:rowOff>
    </xdr:from>
    <xdr:to>
      <xdr:col>12</xdr:col>
      <xdr:colOff>304800</xdr:colOff>
      <xdr:row>93</xdr:row>
      <xdr:rowOff>152400</xdr:rowOff>
    </xdr:to>
    <xdr:graphicFrame>
      <xdr:nvGraphicFramePr>
        <xdr:cNvPr id="5" name="Chart 5"/>
        <xdr:cNvGraphicFramePr/>
      </xdr:nvGraphicFramePr>
      <xdr:xfrm>
        <a:off x="3552825" y="12468225"/>
        <a:ext cx="4572000" cy="2743200"/>
      </xdr:xfrm>
      <a:graphic>
        <a:graphicData uri="http://schemas.openxmlformats.org/drawingml/2006/chart">
          <c:chart xmlns:c="http://schemas.openxmlformats.org/drawingml/2006/chart" r:id="rId5"/>
        </a:graphicData>
      </a:graphic>
    </xdr:graphicFrame>
    <xdr:clientData/>
  </xdr:twoCellAnchor>
  <xdr:twoCellAnchor>
    <xdr:from>
      <xdr:col>5</xdr:col>
      <xdr:colOff>0</xdr:colOff>
      <xdr:row>96</xdr:row>
      <xdr:rowOff>0</xdr:rowOff>
    </xdr:from>
    <xdr:to>
      <xdr:col>12</xdr:col>
      <xdr:colOff>304800</xdr:colOff>
      <xdr:row>112</xdr:row>
      <xdr:rowOff>152400</xdr:rowOff>
    </xdr:to>
    <xdr:graphicFrame>
      <xdr:nvGraphicFramePr>
        <xdr:cNvPr id="6" name="Chart 6"/>
        <xdr:cNvGraphicFramePr/>
      </xdr:nvGraphicFramePr>
      <xdr:xfrm>
        <a:off x="3552825" y="15544800"/>
        <a:ext cx="4572000" cy="2743200"/>
      </xdr:xfrm>
      <a:graphic>
        <a:graphicData uri="http://schemas.openxmlformats.org/drawingml/2006/chart">
          <c:chart xmlns:c="http://schemas.openxmlformats.org/drawingml/2006/chart" r:id="rId6"/>
        </a:graphicData>
      </a:graphic>
    </xdr:graphicFrame>
    <xdr:clientData/>
  </xdr:twoCellAnchor>
  <xdr:twoCellAnchor>
    <xdr:from>
      <xdr:col>5</xdr:col>
      <xdr:colOff>0</xdr:colOff>
      <xdr:row>116</xdr:row>
      <xdr:rowOff>0</xdr:rowOff>
    </xdr:from>
    <xdr:to>
      <xdr:col>12</xdr:col>
      <xdr:colOff>304800</xdr:colOff>
      <xdr:row>132</xdr:row>
      <xdr:rowOff>152400</xdr:rowOff>
    </xdr:to>
    <xdr:graphicFrame>
      <xdr:nvGraphicFramePr>
        <xdr:cNvPr id="7" name="Chart 7"/>
        <xdr:cNvGraphicFramePr/>
      </xdr:nvGraphicFramePr>
      <xdr:xfrm>
        <a:off x="3552825" y="18783300"/>
        <a:ext cx="4572000" cy="2743200"/>
      </xdr:xfrm>
      <a:graphic>
        <a:graphicData uri="http://schemas.openxmlformats.org/drawingml/2006/chart">
          <c:chart xmlns:c="http://schemas.openxmlformats.org/drawingml/2006/chart" r:id="rId7"/>
        </a:graphicData>
      </a:graphic>
    </xdr:graphicFrame>
    <xdr:clientData/>
  </xdr:twoCellAnchor>
  <xdr:twoCellAnchor>
    <xdr:from>
      <xdr:col>5</xdr:col>
      <xdr:colOff>0</xdr:colOff>
      <xdr:row>135</xdr:row>
      <xdr:rowOff>0</xdr:rowOff>
    </xdr:from>
    <xdr:to>
      <xdr:col>12</xdr:col>
      <xdr:colOff>304800</xdr:colOff>
      <xdr:row>151</xdr:row>
      <xdr:rowOff>152400</xdr:rowOff>
    </xdr:to>
    <xdr:graphicFrame>
      <xdr:nvGraphicFramePr>
        <xdr:cNvPr id="8" name="Chart 8"/>
        <xdr:cNvGraphicFramePr/>
      </xdr:nvGraphicFramePr>
      <xdr:xfrm>
        <a:off x="3552825" y="21859875"/>
        <a:ext cx="4572000" cy="2743200"/>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vmlDrawing" Target="../drawings/vmlDrawing4.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vmlDrawing" Target="../drawings/vmlDrawing7.v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8.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9.vml" /><Relationship Id="rId3" Type="http://schemas.openxmlformats.org/officeDocument/2006/relationships/drawing" Target="../drawings/drawing7.xml" /><Relationship Id="rId4" Type="http://schemas.openxmlformats.org/officeDocument/2006/relationships/vmlDrawing" Target="../drawings/vmlDrawing10.v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W17"/>
  <sheetViews>
    <sheetView showGridLines="0" tabSelected="1" zoomScaleSheetLayoutView="80" zoomScalePageLayoutView="50" workbookViewId="0" topLeftCell="A1">
      <selection activeCell="A1" sqref="A1:J1"/>
    </sheetView>
  </sheetViews>
  <sheetFormatPr defaultColWidth="0" defaultRowHeight="12.75" zeroHeight="1"/>
  <cols>
    <col min="1" max="9" width="9.140625" style="278" customWidth="1"/>
    <col min="10" max="10" width="9.140625" style="277" customWidth="1"/>
    <col min="11" max="11" width="0.71875" style="277" customWidth="1"/>
    <col min="12" max="16384" width="9.140625" style="277" hidden="1" customWidth="1"/>
  </cols>
  <sheetData>
    <row r="1" spans="1:23" s="18" customFormat="1" ht="36.75" customHeight="1" thickBot="1">
      <c r="A1" s="375" t="s">
        <v>76</v>
      </c>
      <c r="B1" s="376"/>
      <c r="C1" s="376"/>
      <c r="D1" s="376"/>
      <c r="E1" s="376"/>
      <c r="F1" s="376"/>
      <c r="G1" s="376"/>
      <c r="H1" s="376"/>
      <c r="I1" s="376"/>
      <c r="J1" s="377"/>
      <c r="K1" s="1"/>
      <c r="L1" s="1"/>
      <c r="M1" s="1"/>
      <c r="N1" s="1"/>
      <c r="O1" s="1"/>
      <c r="P1" s="1"/>
      <c r="Q1" s="1"/>
      <c r="R1" s="1"/>
      <c r="S1" s="1"/>
      <c r="T1" s="1"/>
      <c r="U1" s="1"/>
      <c r="V1" s="1"/>
      <c r="W1" s="1"/>
    </row>
    <row r="2" spans="1:10" ht="12.75">
      <c r="A2" s="374"/>
      <c r="B2" s="374"/>
      <c r="C2" s="374"/>
      <c r="D2" s="374"/>
      <c r="E2" s="374"/>
      <c r="F2" s="374"/>
      <c r="G2" s="374"/>
      <c r="H2" s="374"/>
      <c r="I2" s="374"/>
      <c r="J2" s="374"/>
    </row>
    <row r="3" spans="1:10" ht="30.75" customHeight="1">
      <c r="A3" s="378" t="s">
        <v>78</v>
      </c>
      <c r="B3" s="379"/>
      <c r="C3" s="379"/>
      <c r="D3" s="379"/>
      <c r="E3" s="379"/>
      <c r="F3" s="379"/>
      <c r="G3" s="379"/>
      <c r="H3" s="379"/>
      <c r="I3" s="379"/>
      <c r="J3" s="380"/>
    </row>
    <row r="4" spans="1:10" ht="30.75" customHeight="1">
      <c r="A4" s="378" t="s">
        <v>77</v>
      </c>
      <c r="B4" s="379"/>
      <c r="C4" s="379"/>
      <c r="D4" s="379"/>
      <c r="E4" s="379"/>
      <c r="F4" s="379"/>
      <c r="G4" s="379"/>
      <c r="H4" s="379"/>
      <c r="I4" s="379"/>
      <c r="J4" s="380"/>
    </row>
    <row r="5" spans="1:10" ht="30.75" customHeight="1">
      <c r="A5" s="378" t="s">
        <v>82</v>
      </c>
      <c r="B5" s="379"/>
      <c r="C5" s="379"/>
      <c r="D5" s="379"/>
      <c r="E5" s="379"/>
      <c r="F5" s="379"/>
      <c r="G5" s="379"/>
      <c r="H5" s="379"/>
      <c r="I5" s="379"/>
      <c r="J5" s="380"/>
    </row>
    <row r="6" spans="1:10" ht="30.75" customHeight="1">
      <c r="A6" s="378" t="s">
        <v>83</v>
      </c>
      <c r="B6" s="379"/>
      <c r="C6" s="379"/>
      <c r="D6" s="379"/>
      <c r="E6" s="379"/>
      <c r="F6" s="379"/>
      <c r="G6" s="379"/>
      <c r="H6" s="379"/>
      <c r="I6" s="379"/>
      <c r="J6" s="380"/>
    </row>
    <row r="7" spans="1:10" ht="30.75" customHeight="1">
      <c r="A7" s="378" t="s">
        <v>79</v>
      </c>
      <c r="B7" s="379"/>
      <c r="C7" s="379"/>
      <c r="D7" s="379"/>
      <c r="E7" s="379"/>
      <c r="F7" s="379"/>
      <c r="G7" s="379"/>
      <c r="H7" s="379"/>
      <c r="I7" s="379"/>
      <c r="J7" s="380"/>
    </row>
    <row r="8" spans="1:10" ht="30.75" customHeight="1">
      <c r="A8" s="381" t="s">
        <v>80</v>
      </c>
      <c r="B8" s="382"/>
      <c r="C8" s="382"/>
      <c r="D8" s="382"/>
      <c r="E8" s="382"/>
      <c r="F8" s="382"/>
      <c r="G8" s="382"/>
      <c r="H8" s="382"/>
      <c r="I8" s="382"/>
      <c r="J8" s="383"/>
    </row>
    <row r="9" spans="1:10" ht="30.75" customHeight="1">
      <c r="A9" s="378" t="s">
        <v>87</v>
      </c>
      <c r="B9" s="379"/>
      <c r="C9" s="379"/>
      <c r="D9" s="379"/>
      <c r="E9" s="379"/>
      <c r="F9" s="379"/>
      <c r="G9" s="379"/>
      <c r="H9" s="379"/>
      <c r="I9" s="379"/>
      <c r="J9" s="380"/>
    </row>
    <row r="10" spans="1:10" ht="30.75" customHeight="1">
      <c r="A10" s="378" t="s">
        <v>88</v>
      </c>
      <c r="B10" s="379"/>
      <c r="C10" s="379"/>
      <c r="D10" s="379"/>
      <c r="E10" s="379"/>
      <c r="F10" s="379"/>
      <c r="G10" s="379"/>
      <c r="H10" s="379"/>
      <c r="I10" s="379"/>
      <c r="J10" s="380"/>
    </row>
    <row r="11" spans="1:10" ht="30.75" customHeight="1">
      <c r="A11" s="378" t="s">
        <v>84</v>
      </c>
      <c r="B11" s="379"/>
      <c r="C11" s="379"/>
      <c r="D11" s="379"/>
      <c r="E11" s="379"/>
      <c r="F11" s="379"/>
      <c r="G11" s="379"/>
      <c r="H11" s="379"/>
      <c r="I11" s="379"/>
      <c r="J11" s="380"/>
    </row>
    <row r="12" spans="1:10" ht="30.75" customHeight="1">
      <c r="A12" s="378" t="s">
        <v>89</v>
      </c>
      <c r="B12" s="379"/>
      <c r="C12" s="379"/>
      <c r="D12" s="379"/>
      <c r="E12" s="379"/>
      <c r="F12" s="379"/>
      <c r="G12" s="379"/>
      <c r="H12" s="379"/>
      <c r="I12" s="379"/>
      <c r="J12" s="380"/>
    </row>
    <row r="13" spans="1:10" ht="30.75" customHeight="1">
      <c r="A13" s="378"/>
      <c r="B13" s="379"/>
      <c r="C13" s="379"/>
      <c r="D13" s="379"/>
      <c r="E13" s="379"/>
      <c r="F13" s="379"/>
      <c r="G13" s="379"/>
      <c r="H13" s="379"/>
      <c r="I13" s="379"/>
      <c r="J13" s="380"/>
    </row>
    <row r="14" spans="1:10" ht="30.75" customHeight="1">
      <c r="A14" s="378"/>
      <c r="B14" s="379"/>
      <c r="C14" s="379"/>
      <c r="D14" s="379"/>
      <c r="E14" s="379"/>
      <c r="F14" s="379"/>
      <c r="G14" s="379"/>
      <c r="H14" s="379"/>
      <c r="I14" s="379"/>
      <c r="J14" s="380"/>
    </row>
    <row r="15" spans="1:10" ht="30.75" customHeight="1">
      <c r="A15" s="378" t="s">
        <v>86</v>
      </c>
      <c r="B15" s="379"/>
      <c r="C15" s="379"/>
      <c r="D15" s="379"/>
      <c r="E15" s="379"/>
      <c r="F15" s="379"/>
      <c r="G15" s="379"/>
      <c r="H15" s="379"/>
      <c r="I15" s="379"/>
      <c r="J15" s="380"/>
    </row>
    <row r="16" spans="1:10" ht="30.75" customHeight="1">
      <c r="A16" s="378" t="s">
        <v>81</v>
      </c>
      <c r="B16" s="379"/>
      <c r="C16" s="379"/>
      <c r="D16" s="379"/>
      <c r="E16" s="379"/>
      <c r="F16" s="379"/>
      <c r="G16" s="379"/>
      <c r="H16" s="379"/>
      <c r="I16" s="379"/>
      <c r="J16" s="380"/>
    </row>
    <row r="17" spans="1:10" ht="30.75" customHeight="1">
      <c r="A17" s="378" t="s">
        <v>85</v>
      </c>
      <c r="B17" s="379"/>
      <c r="C17" s="379"/>
      <c r="D17" s="379"/>
      <c r="E17" s="379"/>
      <c r="F17" s="379"/>
      <c r="G17" s="379"/>
      <c r="H17" s="379"/>
      <c r="I17" s="379"/>
      <c r="J17" s="380"/>
    </row>
    <row r="18" ht="12.75"/>
    <row r="45" ht="12.75"/>
  </sheetData>
  <sheetProtection password="A300" sheet="1" objects="1" scenarios="1" selectLockedCells="1"/>
  <mergeCells count="17">
    <mergeCell ref="A8:J8"/>
    <mergeCell ref="A15:J15"/>
    <mergeCell ref="A16:J16"/>
    <mergeCell ref="A10:J10"/>
    <mergeCell ref="A17:J17"/>
    <mergeCell ref="A13:J13"/>
    <mergeCell ref="A12:J12"/>
    <mergeCell ref="A2:J2"/>
    <mergeCell ref="A1:J1"/>
    <mergeCell ref="A11:J11"/>
    <mergeCell ref="A14:J14"/>
    <mergeCell ref="A3:J3"/>
    <mergeCell ref="A4:J4"/>
    <mergeCell ref="A9:J9"/>
    <mergeCell ref="A5:J5"/>
    <mergeCell ref="A6:J6"/>
    <mergeCell ref="A7:J7"/>
  </mergeCells>
  <printOptions/>
  <pageMargins left="0.7480314960629921" right="0.7480314960629921" top="0.984251968503937" bottom="0.984251968503937" header="0.5118110236220472" footer="0.5118110236220472"/>
  <pageSetup orientation="portrait" paperSize="9" r:id="rId3"/>
  <headerFooter differentOddEven="1" alignWithMargins="0">
    <oddFooter>&amp;L&amp;"Calibri,Regular"&amp;8Confidential&amp;R&amp;"Calibri,Regular"&amp;8Designed by &amp;10&amp;G</oddFooter>
  </headerFooter>
  <drawing r:id="rId1"/>
  <legacyDrawingHF r:id="rId2"/>
</worksheet>
</file>

<file path=xl/worksheets/sheet2.xml><?xml version="1.0" encoding="utf-8"?>
<worksheet xmlns="http://schemas.openxmlformats.org/spreadsheetml/2006/main" xmlns:r="http://schemas.openxmlformats.org/officeDocument/2006/relationships">
  <dimension ref="A1:J16"/>
  <sheetViews>
    <sheetView zoomScalePageLayoutView="0" workbookViewId="0" topLeftCell="A1">
      <selection activeCell="A12" sqref="A12:J12"/>
    </sheetView>
  </sheetViews>
  <sheetFormatPr defaultColWidth="0" defaultRowHeight="12.75" zeroHeight="1"/>
  <cols>
    <col min="1" max="1" width="8.8515625" style="199" customWidth="1"/>
    <col min="2" max="3" width="8.8515625" style="198" customWidth="1"/>
    <col min="4" max="10" width="8.8515625" style="199" customWidth="1"/>
    <col min="11" max="11" width="0.71875" style="199" customWidth="1"/>
    <col min="12" max="16384" width="9.140625" style="199" hidden="1" customWidth="1"/>
  </cols>
  <sheetData>
    <row r="1" spans="1:10" s="85" customFormat="1" ht="36.75" customHeight="1" thickBot="1">
      <c r="A1" s="386" t="s">
        <v>111</v>
      </c>
      <c r="B1" s="387"/>
      <c r="C1" s="387"/>
      <c r="D1" s="387"/>
      <c r="E1" s="387"/>
      <c r="F1" s="387"/>
      <c r="G1" s="387"/>
      <c r="H1" s="387"/>
      <c r="I1" s="387"/>
      <c r="J1" s="388"/>
    </row>
    <row r="2" spans="1:10" ht="12.75" customHeight="1">
      <c r="A2" s="385"/>
      <c r="B2" s="385"/>
      <c r="C2" s="385"/>
      <c r="D2" s="385"/>
      <c r="E2" s="385"/>
      <c r="F2" s="385"/>
      <c r="G2" s="385"/>
      <c r="H2" s="385"/>
      <c r="I2" s="385"/>
      <c r="J2" s="385"/>
    </row>
    <row r="3" spans="1:10" s="200" customFormat="1" ht="30" customHeight="1">
      <c r="A3" s="389" t="s">
        <v>110</v>
      </c>
      <c r="B3" s="389"/>
      <c r="C3" s="389"/>
      <c r="D3" s="389"/>
      <c r="E3" s="389"/>
      <c r="F3" s="389"/>
      <c r="G3" s="389"/>
      <c r="H3" s="389"/>
      <c r="I3" s="389"/>
      <c r="J3" s="389"/>
    </row>
    <row r="4" spans="1:10" s="200" customFormat="1" ht="30" customHeight="1">
      <c r="A4" s="384" t="s">
        <v>90</v>
      </c>
      <c r="B4" s="384"/>
      <c r="C4" s="384"/>
      <c r="D4" s="384"/>
      <c r="E4" s="384"/>
      <c r="F4" s="384"/>
      <c r="G4" s="384"/>
      <c r="H4" s="384"/>
      <c r="I4" s="384"/>
      <c r="J4" s="384"/>
    </row>
    <row r="5" spans="1:10" s="200" customFormat="1" ht="30" customHeight="1">
      <c r="A5" s="384" t="s">
        <v>97</v>
      </c>
      <c r="B5" s="384"/>
      <c r="C5" s="384"/>
      <c r="D5" s="384"/>
      <c r="E5" s="384"/>
      <c r="F5" s="384"/>
      <c r="G5" s="384"/>
      <c r="H5" s="384"/>
      <c r="I5" s="384"/>
      <c r="J5" s="384"/>
    </row>
    <row r="6" spans="1:10" s="200" customFormat="1" ht="30" customHeight="1">
      <c r="A6" s="384" t="s">
        <v>91</v>
      </c>
      <c r="B6" s="384"/>
      <c r="C6" s="384"/>
      <c r="D6" s="384"/>
      <c r="E6" s="384"/>
      <c r="F6" s="384"/>
      <c r="G6" s="384"/>
      <c r="H6" s="384"/>
      <c r="I6" s="384"/>
      <c r="J6" s="384"/>
    </row>
    <row r="7" spans="1:10" s="200" customFormat="1" ht="30" customHeight="1">
      <c r="A7" s="384" t="s">
        <v>92</v>
      </c>
      <c r="B7" s="384"/>
      <c r="C7" s="384"/>
      <c r="D7" s="384"/>
      <c r="E7" s="384"/>
      <c r="F7" s="384"/>
      <c r="G7" s="384"/>
      <c r="H7" s="384"/>
      <c r="I7" s="384"/>
      <c r="J7" s="384"/>
    </row>
    <row r="8" spans="1:10" s="200" customFormat="1" ht="57" customHeight="1">
      <c r="A8" s="389" t="s">
        <v>99</v>
      </c>
      <c r="B8" s="389"/>
      <c r="C8" s="389"/>
      <c r="D8" s="389"/>
      <c r="E8" s="389"/>
      <c r="F8" s="389"/>
      <c r="G8" s="389"/>
      <c r="H8" s="389"/>
      <c r="I8" s="389"/>
      <c r="J8" s="389"/>
    </row>
    <row r="9" spans="1:10" s="200" customFormat="1" ht="39.75" customHeight="1">
      <c r="A9" s="389" t="s">
        <v>98</v>
      </c>
      <c r="B9" s="389"/>
      <c r="C9" s="389"/>
      <c r="D9" s="389"/>
      <c r="E9" s="389"/>
      <c r="F9" s="389"/>
      <c r="G9" s="389"/>
      <c r="H9" s="389"/>
      <c r="I9" s="389"/>
      <c r="J9" s="389"/>
    </row>
    <row r="10" spans="1:10" s="200" customFormat="1" ht="30" customHeight="1">
      <c r="A10" s="384" t="s">
        <v>93</v>
      </c>
      <c r="B10" s="384"/>
      <c r="C10" s="384"/>
      <c r="D10" s="384"/>
      <c r="E10" s="384"/>
      <c r="F10" s="384"/>
      <c r="G10" s="384"/>
      <c r="H10" s="384"/>
      <c r="I10" s="384"/>
      <c r="J10" s="384"/>
    </row>
    <row r="11" spans="1:10" s="200" customFormat="1" ht="42.75" customHeight="1">
      <c r="A11" s="389" t="s">
        <v>94</v>
      </c>
      <c r="B11" s="389"/>
      <c r="C11" s="389"/>
      <c r="D11" s="389"/>
      <c r="E11" s="389"/>
      <c r="F11" s="389"/>
      <c r="G11" s="389"/>
      <c r="H11" s="389"/>
      <c r="I11" s="389"/>
      <c r="J11" s="389"/>
    </row>
    <row r="12" spans="1:10" s="200" customFormat="1" ht="55.5" customHeight="1">
      <c r="A12" s="389" t="s">
        <v>95</v>
      </c>
      <c r="B12" s="389"/>
      <c r="C12" s="389"/>
      <c r="D12" s="389"/>
      <c r="E12" s="389"/>
      <c r="F12" s="389"/>
      <c r="G12" s="389"/>
      <c r="H12" s="389"/>
      <c r="I12" s="389"/>
      <c r="J12" s="389"/>
    </row>
    <row r="13" spans="1:10" s="200" customFormat="1" ht="66.75" customHeight="1">
      <c r="A13" s="389" t="s">
        <v>140</v>
      </c>
      <c r="B13" s="384"/>
      <c r="C13" s="384"/>
      <c r="D13" s="384"/>
      <c r="E13" s="384"/>
      <c r="F13" s="384"/>
      <c r="G13" s="384"/>
      <c r="H13" s="384"/>
      <c r="I13" s="384"/>
      <c r="J13" s="384"/>
    </row>
    <row r="14" spans="1:10" s="200" customFormat="1" ht="42" customHeight="1">
      <c r="A14" s="389" t="s">
        <v>109</v>
      </c>
      <c r="B14" s="389"/>
      <c r="C14" s="389"/>
      <c r="D14" s="389"/>
      <c r="E14" s="389"/>
      <c r="F14" s="389"/>
      <c r="G14" s="389"/>
      <c r="H14" s="389"/>
      <c r="I14" s="389"/>
      <c r="J14" s="389"/>
    </row>
    <row r="15" spans="1:10" s="200" customFormat="1" ht="30" customHeight="1">
      <c r="A15" s="389" t="s">
        <v>96</v>
      </c>
      <c r="B15" s="389"/>
      <c r="C15" s="389"/>
      <c r="D15" s="389"/>
      <c r="E15" s="389"/>
      <c r="F15" s="389"/>
      <c r="G15" s="389"/>
      <c r="H15" s="389"/>
      <c r="I15" s="389"/>
      <c r="J15" s="389"/>
    </row>
    <row r="16" spans="1:10" ht="5.25" customHeight="1">
      <c r="A16" s="213"/>
      <c r="B16" s="213"/>
      <c r="C16" s="213"/>
      <c r="D16" s="213"/>
      <c r="E16" s="213"/>
      <c r="F16" s="213"/>
      <c r="G16" s="213"/>
      <c r="H16" s="213"/>
      <c r="I16" s="213"/>
      <c r="J16" s="213"/>
    </row>
    <row r="17" ht="12.75" customHeight="1" hidden="1"/>
  </sheetData>
  <sheetProtection password="A300" sheet="1" objects="1" scenarios="1" selectLockedCells="1"/>
  <mergeCells count="15">
    <mergeCell ref="A15:J15"/>
    <mergeCell ref="A10:J10"/>
    <mergeCell ref="A11:J11"/>
    <mergeCell ref="A12:J12"/>
    <mergeCell ref="A8:J8"/>
    <mergeCell ref="A9:J9"/>
    <mergeCell ref="A13:J13"/>
    <mergeCell ref="A14:J14"/>
    <mergeCell ref="A6:J6"/>
    <mergeCell ref="A7:J7"/>
    <mergeCell ref="A2:J2"/>
    <mergeCell ref="A1:J1"/>
    <mergeCell ref="A5:J5"/>
    <mergeCell ref="A3:J3"/>
    <mergeCell ref="A4:J4"/>
  </mergeCells>
  <printOptions/>
  <pageMargins left="0.7086614173228347" right="0.7086614173228347" top="0.7480314960629921" bottom="0.7480314960629921" header="0.31496062992125984" footer="0.31496062992125984"/>
  <pageSetup horizontalDpi="300" verticalDpi="300" orientation="portrait" paperSize="9" r:id="rId3"/>
  <headerFooter>
    <oddFooter>&amp;L&amp;"Calibri,Regular"&amp;8Confidential&amp;R&amp;"Calibri,Regular"&amp;8Designed by &amp;"Arial,Regular"&amp;10&amp;G</oddFooter>
  </headerFooter>
  <drawing r:id="rId1"/>
  <legacyDrawingHF r:id="rId2"/>
</worksheet>
</file>

<file path=xl/worksheets/sheet3.xml><?xml version="1.0" encoding="utf-8"?>
<worksheet xmlns="http://schemas.openxmlformats.org/spreadsheetml/2006/main" xmlns:r="http://schemas.openxmlformats.org/officeDocument/2006/relationships">
  <sheetPr>
    <pageSetUpPr fitToPage="1"/>
  </sheetPr>
  <dimension ref="A1:S276"/>
  <sheetViews>
    <sheetView showGridLines="0" zoomScale="70" zoomScaleNormal="70" zoomScaleSheetLayoutView="85" zoomScalePageLayoutView="70" workbookViewId="0" topLeftCell="A46">
      <selection activeCell="C6" sqref="C6:E7"/>
    </sheetView>
  </sheetViews>
  <sheetFormatPr defaultColWidth="0" defaultRowHeight="12.75" zeroHeight="1" outlineLevelRow="1"/>
  <cols>
    <col min="1" max="1" width="12.57421875" style="55" bestFit="1" customWidth="1"/>
    <col min="2" max="2" width="17.140625" style="55" bestFit="1" customWidth="1"/>
    <col min="3" max="3" width="15.00390625" style="55" customWidth="1"/>
    <col min="4" max="4" width="5.421875" style="55" bestFit="1" customWidth="1"/>
    <col min="5" max="5" width="19.7109375" style="56" customWidth="1"/>
    <col min="6" max="6" width="11.28125" style="55" customWidth="1"/>
    <col min="7" max="7" width="9.140625" style="56" customWidth="1"/>
    <col min="8" max="8" width="9.421875" style="56" customWidth="1"/>
    <col min="9" max="9" width="8.57421875" style="56" customWidth="1"/>
    <col min="10" max="10" width="7.7109375" style="76" bestFit="1" customWidth="1"/>
    <col min="11" max="11" width="2.421875" style="55" customWidth="1"/>
    <col min="12" max="12" width="10.140625" style="55" customWidth="1"/>
    <col min="13" max="13" width="10.28125" style="55" customWidth="1"/>
    <col min="14" max="14" width="10.57421875" style="55" customWidth="1"/>
    <col min="15" max="15" width="3.421875" style="55" customWidth="1"/>
    <col min="16" max="16" width="17.00390625" style="55" customWidth="1"/>
    <col min="17" max="17" width="21.140625" style="55" customWidth="1"/>
    <col min="18" max="18" width="18.7109375" style="55" customWidth="1"/>
    <col min="19" max="19" width="0.9921875" style="55" customWidth="1"/>
    <col min="20" max="16384" width="0" style="55" hidden="1" customWidth="1"/>
  </cols>
  <sheetData>
    <row r="1" spans="1:19" s="48" customFormat="1" ht="60.75" customHeight="1" thickBot="1">
      <c r="A1" s="447"/>
      <c r="B1" s="448"/>
      <c r="C1" s="448"/>
      <c r="D1" s="448"/>
      <c r="E1" s="449" t="s">
        <v>71</v>
      </c>
      <c r="F1" s="449"/>
      <c r="G1" s="449"/>
      <c r="H1" s="449"/>
      <c r="I1" s="449"/>
      <c r="J1" s="449"/>
      <c r="K1" s="449"/>
      <c r="L1" s="449"/>
      <c r="M1" s="449"/>
      <c r="N1" s="449"/>
      <c r="O1" s="449"/>
      <c r="P1" s="449"/>
      <c r="Q1" s="449"/>
      <c r="R1" s="450"/>
      <c r="S1" s="214"/>
    </row>
    <row r="2" spans="1:19" s="28" customFormat="1" ht="15.75" thickBot="1">
      <c r="A2" s="7"/>
      <c r="B2" s="26"/>
      <c r="C2" s="26"/>
      <c r="D2" s="26"/>
      <c r="E2" s="27"/>
      <c r="F2" s="26"/>
      <c r="G2" s="27"/>
      <c r="H2" s="27"/>
      <c r="I2" s="27"/>
      <c r="J2" s="208"/>
      <c r="K2" s="26"/>
      <c r="L2" s="26"/>
      <c r="M2" s="26"/>
      <c r="N2" s="26"/>
      <c r="O2" s="26"/>
      <c r="P2" s="26"/>
      <c r="Q2" s="26"/>
      <c r="R2" s="26"/>
      <c r="S2" s="207"/>
    </row>
    <row r="3" spans="1:19" s="28" customFormat="1" ht="15.75" thickBot="1">
      <c r="A3" s="26"/>
      <c r="B3" s="415" t="s">
        <v>39</v>
      </c>
      <c r="C3" s="416"/>
      <c r="D3" s="416"/>
      <c r="E3" s="416"/>
      <c r="F3" s="416"/>
      <c r="G3" s="416"/>
      <c r="H3" s="416"/>
      <c r="I3" s="416"/>
      <c r="J3" s="416"/>
      <c r="K3" s="416"/>
      <c r="L3" s="416"/>
      <c r="M3" s="416"/>
      <c r="N3" s="417"/>
      <c r="O3" s="26"/>
      <c r="P3" s="26"/>
      <c r="Q3" s="26"/>
      <c r="R3" s="26"/>
      <c r="S3" s="207"/>
    </row>
    <row r="4" spans="1:19" s="28" customFormat="1" ht="15">
      <c r="A4" s="26"/>
      <c r="B4" s="26"/>
      <c r="C4" s="26"/>
      <c r="D4" s="26"/>
      <c r="E4" s="27"/>
      <c r="F4" s="29"/>
      <c r="G4" s="27"/>
      <c r="H4" s="29"/>
      <c r="I4" s="29"/>
      <c r="J4" s="30"/>
      <c r="K4" s="29"/>
      <c r="L4" s="29"/>
      <c r="M4" s="29"/>
      <c r="N4" s="29"/>
      <c r="O4" s="26"/>
      <c r="P4" s="26"/>
      <c r="Q4" s="26"/>
      <c r="R4" s="26"/>
      <c r="S4" s="207"/>
    </row>
    <row r="5" spans="1:19" s="28" customFormat="1" ht="15.75" customHeight="1" thickBot="1">
      <c r="A5" s="26"/>
      <c r="B5" s="7"/>
      <c r="C5" s="26"/>
      <c r="D5" s="31"/>
      <c r="E5" s="31"/>
      <c r="F5" s="49"/>
      <c r="G5" s="50"/>
      <c r="H5" s="49"/>
      <c r="I5" s="49"/>
      <c r="J5" s="51"/>
      <c r="K5" s="51"/>
      <c r="L5" s="49"/>
      <c r="M5" s="49"/>
      <c r="N5" s="9"/>
      <c r="O5" s="26"/>
      <c r="P5" s="26"/>
      <c r="Q5" s="26"/>
      <c r="R5" s="26"/>
      <c r="S5" s="207"/>
    </row>
    <row r="6" spans="1:19" s="5" customFormat="1" ht="13.5" customHeight="1">
      <c r="A6" s="26"/>
      <c r="B6" s="390" t="s">
        <v>120</v>
      </c>
      <c r="C6" s="392" t="s">
        <v>129</v>
      </c>
      <c r="D6" s="393"/>
      <c r="E6" s="394"/>
      <c r="F6" s="390" t="s">
        <v>11</v>
      </c>
      <c r="G6" s="442"/>
      <c r="H6" s="442"/>
      <c r="I6" s="442"/>
      <c r="J6" s="443"/>
      <c r="K6" s="49"/>
      <c r="L6" s="404" t="s">
        <v>52</v>
      </c>
      <c r="M6" s="405"/>
      <c r="N6" s="406"/>
      <c r="O6" s="4"/>
      <c r="P6" s="4"/>
      <c r="Q6" s="4"/>
      <c r="R6" s="4"/>
      <c r="S6" s="205"/>
    </row>
    <row r="7" spans="1:19" s="5" customFormat="1" ht="21" customHeight="1" thickBot="1">
      <c r="A7" s="4"/>
      <c r="B7" s="391"/>
      <c r="C7" s="395"/>
      <c r="D7" s="396"/>
      <c r="E7" s="397"/>
      <c r="F7" s="391"/>
      <c r="G7" s="444"/>
      <c r="H7" s="444"/>
      <c r="I7" s="444"/>
      <c r="J7" s="445"/>
      <c r="K7" s="49"/>
      <c r="L7" s="407"/>
      <c r="M7" s="408"/>
      <c r="N7" s="409"/>
      <c r="O7" s="4"/>
      <c r="P7" s="4"/>
      <c r="Q7" s="4"/>
      <c r="R7" s="4"/>
      <c r="S7" s="205"/>
    </row>
    <row r="8" spans="1:19" s="28" customFormat="1" ht="39.75" customHeight="1" thickBot="1">
      <c r="A8" s="4"/>
      <c r="B8" s="429" t="s">
        <v>14</v>
      </c>
      <c r="C8" s="430"/>
      <c r="D8" s="430"/>
      <c r="E8" s="431"/>
      <c r="F8" s="10" t="s">
        <v>13</v>
      </c>
      <c r="G8" s="251" t="s">
        <v>12</v>
      </c>
      <c r="H8" s="245" t="s">
        <v>20</v>
      </c>
      <c r="I8" s="152" t="s">
        <v>142</v>
      </c>
      <c r="J8" s="232" t="s">
        <v>141</v>
      </c>
      <c r="K8" s="26"/>
      <c r="L8" s="210" t="s">
        <v>72</v>
      </c>
      <c r="M8" s="222" t="s">
        <v>73</v>
      </c>
      <c r="N8" s="211" t="s">
        <v>74</v>
      </c>
      <c r="O8" s="26"/>
      <c r="P8" s="26"/>
      <c r="Q8" s="26"/>
      <c r="R8" s="26"/>
      <c r="S8" s="207"/>
    </row>
    <row r="9" spans="1:19" ht="15" customHeight="1">
      <c r="A9" s="435" t="s">
        <v>128</v>
      </c>
      <c r="B9" s="52">
        <v>1</v>
      </c>
      <c r="C9" s="412" t="s">
        <v>4</v>
      </c>
      <c r="D9" s="413"/>
      <c r="E9" s="414"/>
      <c r="F9" s="240">
        <v>0</v>
      </c>
      <c r="G9" s="252" t="s">
        <v>30</v>
      </c>
      <c r="H9" s="246">
        <f aca="true" t="shared" si="0" ref="H9:H20">IF(SUM(F$16:F$20,F$9:F$11)=0,0,F9/SUM(F$16:F$20,F$9:F$11))</f>
        <v>0</v>
      </c>
      <c r="I9" s="53">
        <f>(F9/1000*'Specific Emissions'!F$6)</f>
        <v>0</v>
      </c>
      <c r="J9" s="233">
        <f>IF(OR(I24="select service",I24="Select G11",I24="service quantity",I24=0),0,I9/I23)</f>
        <v>0</v>
      </c>
      <c r="K9" s="49"/>
      <c r="L9" s="54">
        <f>F9/1000*'Specific Emissions'!G$6</f>
        <v>0</v>
      </c>
      <c r="M9" s="223">
        <f>F9/1000*'Specific Emissions'!H$6</f>
        <v>0</v>
      </c>
      <c r="N9" s="215">
        <f>F9/1000*'Specific Emissions'!I$6</f>
        <v>0</v>
      </c>
      <c r="O9" s="51"/>
      <c r="P9" s="49"/>
      <c r="Q9" s="49"/>
      <c r="R9" s="49"/>
      <c r="S9" s="206"/>
    </row>
    <row r="10" spans="1:19" ht="15">
      <c r="A10" s="436"/>
      <c r="B10" s="11">
        <v>2</v>
      </c>
      <c r="C10" s="401" t="s">
        <v>1</v>
      </c>
      <c r="D10" s="427"/>
      <c r="E10" s="428"/>
      <c r="F10" s="241">
        <f>635+1050</f>
        <v>1685</v>
      </c>
      <c r="G10" s="149" t="s">
        <v>8</v>
      </c>
      <c r="H10" s="247">
        <f t="shared" si="0"/>
        <v>0.6977225672877847</v>
      </c>
      <c r="I10" s="46">
        <f>IF(G10="","0.0",IF(G10="kg",F10/1000*'Specific Emissions'!$F$7,IF(G10="m3",F10*1.65*'Specific Emissions'!$F$7)))</f>
        <v>9.031600000000001</v>
      </c>
      <c r="J10" s="234">
        <f>IF(OR(I24="select service",I24="Select g11",I24="service quantity",I24=0),0,I10/I23)</f>
        <v>0.018701100618015786</v>
      </c>
      <c r="K10" s="4"/>
      <c r="L10" s="47">
        <f>F10/1000*'Specific Emissions'!G$7</f>
        <v>3.21835</v>
      </c>
      <c r="M10" s="224">
        <f>F10/1000*'Specific Emissions'!H$7</f>
        <v>5.813250000000001</v>
      </c>
      <c r="N10" s="216">
        <f>F10/1000*'Specific Emissions'!I$7</f>
        <v>0</v>
      </c>
      <c r="O10" s="35"/>
      <c r="P10" s="49"/>
      <c r="Q10" s="49"/>
      <c r="R10" s="49"/>
      <c r="S10" s="206"/>
    </row>
    <row r="11" spans="1:19" s="5" customFormat="1" ht="15">
      <c r="A11" s="436"/>
      <c r="B11" s="11">
        <v>3</v>
      </c>
      <c r="C11" s="418" t="s">
        <v>18</v>
      </c>
      <c r="D11" s="419"/>
      <c r="E11" s="420"/>
      <c r="F11" s="241">
        <v>470</v>
      </c>
      <c r="G11" s="149" t="s">
        <v>8</v>
      </c>
      <c r="H11" s="247">
        <f t="shared" si="0"/>
        <v>0.19461697722567287</v>
      </c>
      <c r="I11" s="46">
        <f>(IF(C11="","0.0",VLOOKUP(C11,ManufacturedTypesTable,6,FALSE)*(F11/1000)))</f>
        <v>463.1259755956672</v>
      </c>
      <c r="J11" s="234">
        <f>IF(OR(I24="select service",I24="Select g11",I24="service quantity",I24=0),0,I11/I23)</f>
        <v>0.9589624726993329</v>
      </c>
      <c r="K11" s="4"/>
      <c r="L11" s="20">
        <f>IF(C11="","0.0",VLOOKUP(C11,ManufacturedTypesTable,7,FALSE)*(F11/1000))</f>
        <v>384.58422764294454</v>
      </c>
      <c r="M11" s="224">
        <f>IF(C11="","0.0",VLOOKUP(C11,ManufacturedTypesTable,8,FALSE)*(F11/1000))</f>
        <v>68.28506985980745</v>
      </c>
      <c r="N11" s="216">
        <f>IF(C11="","0.0",VLOOKUP(C11,ManufacturedTypesTable,9,FALSE)*(F11/1000))</f>
        <v>10.256678092915275</v>
      </c>
      <c r="O11" s="8"/>
      <c r="P11" s="4"/>
      <c r="Q11" s="4"/>
      <c r="R11" s="4"/>
      <c r="S11" s="205"/>
    </row>
    <row r="12" spans="1:19" ht="12.75" customHeight="1" hidden="1" outlineLevel="1">
      <c r="A12" s="436"/>
      <c r="B12" s="21">
        <v>3.1</v>
      </c>
      <c r="C12" s="421" t="s">
        <v>42</v>
      </c>
      <c r="D12" s="422"/>
      <c r="E12" s="423"/>
      <c r="F12" s="24">
        <f>IF(F11=0,"0",VLOOKUP(C11,ManufacturedTypesTable,2,FALSE)*F11)</f>
        <v>470</v>
      </c>
      <c r="G12" s="253" t="s">
        <v>8</v>
      </c>
      <c r="H12" s="248">
        <f t="shared" si="0"/>
        <v>0.19461697722567287</v>
      </c>
      <c r="I12" s="22">
        <f>(F12/1000*'Specific Emissions'!$F$23)</f>
        <v>463.1259755956672</v>
      </c>
      <c r="J12" s="235">
        <f>IF(OR(I24="select service",I24="Select g11",I24="service quantity",I24=0),0,I12/I23)</f>
        <v>0.9589624726993329</v>
      </c>
      <c r="K12" s="23"/>
      <c r="L12" s="24">
        <f>F12/1000*'Specific Emissions'!$G$23</f>
        <v>384.58422764294454</v>
      </c>
      <c r="M12" s="225">
        <f>F12/1000*'Specific Emissions'!$H$23</f>
        <v>68.28506985980745</v>
      </c>
      <c r="N12" s="217">
        <f>F12/1000*'Specific Emissions'!$I$23</f>
        <v>10.256678092915275</v>
      </c>
      <c r="O12" s="51"/>
      <c r="P12" s="49"/>
      <c r="Q12" s="49"/>
      <c r="R12" s="49"/>
      <c r="S12" s="206"/>
    </row>
    <row r="13" spans="1:19" ht="12.75" customHeight="1" hidden="1" outlineLevel="1">
      <c r="A13" s="436"/>
      <c r="B13" s="21">
        <v>3.2</v>
      </c>
      <c r="C13" s="432" t="s">
        <v>69</v>
      </c>
      <c r="D13" s="433"/>
      <c r="E13" s="434"/>
      <c r="F13" s="24">
        <f>IF(F11=0,"0",VLOOKUP(C11,ManufacturedTypesTable,3,FALSE)*F11)</f>
        <v>0</v>
      </c>
      <c r="G13" s="253" t="s">
        <v>8</v>
      </c>
      <c r="H13" s="248">
        <f t="shared" si="0"/>
        <v>0</v>
      </c>
      <c r="I13" s="22">
        <f>(F13/1000*'Specific Emissions'!$F$8)</f>
        <v>0</v>
      </c>
      <c r="J13" s="235">
        <f>IF(OR(I24="select service",I24="Select g11",I24="service quantity",I24=0),0,I13/I23)</f>
        <v>0</v>
      </c>
      <c r="K13" s="23"/>
      <c r="L13" s="25">
        <f>F13/1000*'Specific Emissions'!$G$8</f>
        <v>0</v>
      </c>
      <c r="M13" s="225">
        <f>F13/1000*'Specific Emissions'!$H$8</f>
        <v>0</v>
      </c>
      <c r="N13" s="217">
        <f>F13/1000*'Specific Emissions'!$I$8</f>
        <v>0</v>
      </c>
      <c r="O13" s="51"/>
      <c r="P13" s="49"/>
      <c r="Q13" s="49"/>
      <c r="R13" s="49"/>
      <c r="S13" s="206"/>
    </row>
    <row r="14" spans="1:19" ht="12.75" customHeight="1" hidden="1" outlineLevel="1">
      <c r="A14" s="436"/>
      <c r="B14" s="21">
        <v>3.3</v>
      </c>
      <c r="C14" s="432" t="s">
        <v>106</v>
      </c>
      <c r="D14" s="433"/>
      <c r="E14" s="434"/>
      <c r="F14" s="24">
        <f>IF(F11=0,"0",VLOOKUP(C11,ManufacturedTypesTable,4,FALSE)*F11)</f>
        <v>0</v>
      </c>
      <c r="G14" s="253" t="s">
        <v>8</v>
      </c>
      <c r="H14" s="248">
        <f t="shared" si="0"/>
        <v>0</v>
      </c>
      <c r="I14" s="22">
        <f>F14/1000*'Specific Emissions'!$F$9</f>
        <v>0</v>
      </c>
      <c r="J14" s="235">
        <f>IF(OR(I24="select service",I24="Select g11",I24="service quantity",I24=0),0,I14/I23)</f>
        <v>0</v>
      </c>
      <c r="K14" s="23"/>
      <c r="L14" s="24">
        <f>F14/1000*'Specific Emissions'!$G$9</f>
        <v>0</v>
      </c>
      <c r="M14" s="225">
        <f>F14/1000*'Specific Emissions'!$H$9</f>
        <v>0</v>
      </c>
      <c r="N14" s="217">
        <f>F14/1000*'Specific Emissions'!$I$9</f>
        <v>0</v>
      </c>
      <c r="O14" s="51"/>
      <c r="P14" s="49"/>
      <c r="Q14" s="49"/>
      <c r="R14" s="49"/>
      <c r="S14" s="206"/>
    </row>
    <row r="15" spans="1:19" ht="12.75" customHeight="1" hidden="1" outlineLevel="1">
      <c r="A15" s="436"/>
      <c r="B15" s="21">
        <v>3.4</v>
      </c>
      <c r="C15" s="432" t="s">
        <v>107</v>
      </c>
      <c r="D15" s="433"/>
      <c r="E15" s="434"/>
      <c r="F15" s="24">
        <f>IF(F11=0,"0",VLOOKUP(C11,ManufacturedTypesTable,5,FALSE)*F11)</f>
        <v>0</v>
      </c>
      <c r="G15" s="253" t="s">
        <v>8</v>
      </c>
      <c r="H15" s="248">
        <f t="shared" si="0"/>
        <v>0</v>
      </c>
      <c r="I15" s="22">
        <f>F15/1000*'Specific Emissions'!$F$12</f>
        <v>0</v>
      </c>
      <c r="J15" s="235">
        <f>IF(OR(I24="select service",I24="Select g11",I24="service quantity",I24=0),0,I15/I23)</f>
        <v>0</v>
      </c>
      <c r="K15" s="23"/>
      <c r="L15" s="24">
        <f>F15/1000*'Specific Emissions'!$G$12</f>
        <v>0</v>
      </c>
      <c r="M15" s="225">
        <f>F15/1000*'Specific Emissions'!$H$12</f>
        <v>0</v>
      </c>
      <c r="N15" s="217">
        <f>F15/1000*'Specific Emissions'!$I$12</f>
        <v>0</v>
      </c>
      <c r="O15" s="51"/>
      <c r="P15" s="49"/>
      <c r="Q15" s="49"/>
      <c r="R15" s="49"/>
      <c r="S15" s="206"/>
    </row>
    <row r="16" spans="1:19" s="5" customFormat="1" ht="12.75" customHeight="1" collapsed="1">
      <c r="A16" s="436"/>
      <c r="B16" s="11">
        <v>4</v>
      </c>
      <c r="C16" s="401" t="s">
        <v>2</v>
      </c>
      <c r="D16" s="427"/>
      <c r="E16" s="428"/>
      <c r="F16" s="241">
        <v>0</v>
      </c>
      <c r="G16" s="149" t="s">
        <v>8</v>
      </c>
      <c r="H16" s="247">
        <f t="shared" si="0"/>
        <v>0</v>
      </c>
      <c r="I16" s="46">
        <f>F16/1000*'Specific Emissions'!F$8</f>
        <v>0</v>
      </c>
      <c r="J16" s="234">
        <f>IF(OR(I24="select service",I24="Select g11",I24="service quantity",I24=0),0,I16/I23)</f>
        <v>0</v>
      </c>
      <c r="K16" s="4"/>
      <c r="L16" s="47">
        <f>F16/1000*'Specific Emissions'!G$8</f>
        <v>0</v>
      </c>
      <c r="M16" s="224">
        <f>F16/1000*'Specific Emissions'!H$8</f>
        <v>0</v>
      </c>
      <c r="N16" s="216">
        <f>F16/1000*'Specific Emissions'!I$8</f>
        <v>0</v>
      </c>
      <c r="O16" s="8"/>
      <c r="P16" s="4"/>
      <c r="Q16" s="4"/>
      <c r="R16" s="4"/>
      <c r="S16" s="205"/>
    </row>
    <row r="17" spans="1:19" s="28" customFormat="1" ht="12.75" customHeight="1">
      <c r="A17" s="436"/>
      <c r="B17" s="32">
        <v>5</v>
      </c>
      <c r="C17" s="401" t="s">
        <v>105</v>
      </c>
      <c r="D17" s="402"/>
      <c r="E17" s="403"/>
      <c r="F17" s="242">
        <v>0</v>
      </c>
      <c r="G17" s="254" t="s">
        <v>8</v>
      </c>
      <c r="H17" s="247">
        <f t="shared" si="0"/>
        <v>0</v>
      </c>
      <c r="I17" s="33">
        <f>F17/1000*'Specific Emissions'!F$9</f>
        <v>0</v>
      </c>
      <c r="J17" s="236">
        <f>IF(OR(I24="select service",I24="Select g11",I24="service quantity",I24=0),0,I17/I23)</f>
        <v>0</v>
      </c>
      <c r="K17" s="26"/>
      <c r="L17" s="34">
        <f>F17/1000*'Specific Emissions'!G$9</f>
        <v>0</v>
      </c>
      <c r="M17" s="226">
        <f>F17/1000*'Specific Emissions'!H$9</f>
        <v>0</v>
      </c>
      <c r="N17" s="218">
        <f>F17/1000*'Specific Emissions'!I$9</f>
        <v>0</v>
      </c>
      <c r="O17" s="37"/>
      <c r="P17" s="26"/>
      <c r="Q17" s="26"/>
      <c r="R17" s="26"/>
      <c r="S17" s="207"/>
    </row>
    <row r="18" spans="1:19" ht="12.75" customHeight="1">
      <c r="A18" s="436"/>
      <c r="B18" s="77">
        <v>6</v>
      </c>
      <c r="C18" s="57" t="s">
        <v>53</v>
      </c>
      <c r="D18" s="78"/>
      <c r="E18" s="78"/>
      <c r="F18" s="243">
        <v>0</v>
      </c>
      <c r="G18" s="255" t="s">
        <v>8</v>
      </c>
      <c r="H18" s="247">
        <f t="shared" si="0"/>
        <v>0</v>
      </c>
      <c r="I18" s="58">
        <f>F18/1000*'Specific Emissions'!$F$12</f>
        <v>0</v>
      </c>
      <c r="J18" s="237">
        <f>IF(OR(I24="select service",I24="Select g11",I24="service quantity",I24=0),0,I18/I23)</f>
        <v>0</v>
      </c>
      <c r="K18" s="49"/>
      <c r="L18" s="59">
        <f>F18/1000*'Specific Emissions'!$G$12</f>
        <v>0</v>
      </c>
      <c r="M18" s="227">
        <f>F18/1000*'Specific Emissions'!$H$12</f>
        <v>0</v>
      </c>
      <c r="N18" s="219">
        <f>F18/1000*'Specific Emissions'!$I$12</f>
        <v>0</v>
      </c>
      <c r="O18" s="51"/>
      <c r="P18" s="49"/>
      <c r="Q18" s="49"/>
      <c r="R18" s="49"/>
      <c r="S18" s="206"/>
    </row>
    <row r="19" spans="1:19" s="5" customFormat="1" ht="15">
      <c r="A19" s="436"/>
      <c r="B19" s="6">
        <v>7</v>
      </c>
      <c r="C19" s="401" t="s">
        <v>9</v>
      </c>
      <c r="D19" s="427"/>
      <c r="E19" s="428"/>
      <c r="F19" s="241">
        <v>260</v>
      </c>
      <c r="G19" s="149" t="s">
        <v>30</v>
      </c>
      <c r="H19" s="247">
        <f t="shared" si="0"/>
        <v>0.10766045548654245</v>
      </c>
      <c r="I19" s="46">
        <f>F19/1000*'Specific Emissions'!F$10</f>
        <v>0.24180000000000001</v>
      </c>
      <c r="J19" s="234">
        <f>IF(OR(I24="select service",I24="Select g11",I24="service quantity",I24=0),0,I19/I23)</f>
        <v>0.0005006782994636849</v>
      </c>
      <c r="K19" s="4"/>
      <c r="L19" s="47">
        <f>F19/1000*'Specific Emissions'!G$10</f>
        <v>0.13540800000000003</v>
      </c>
      <c r="M19" s="224">
        <f>F19/1000*'Specific Emissions'!H$10</f>
        <v>0.106392</v>
      </c>
      <c r="N19" s="216">
        <f>F19/1000*'Specific Emissions'!I$10</f>
        <v>0</v>
      </c>
      <c r="O19" s="8"/>
      <c r="P19" s="4"/>
      <c r="Q19" s="4"/>
      <c r="R19" s="4"/>
      <c r="S19" s="205"/>
    </row>
    <row r="20" spans="1:19" s="28" customFormat="1" ht="15.75" thickBot="1">
      <c r="A20" s="437"/>
      <c r="B20" s="32">
        <v>8</v>
      </c>
      <c r="C20" s="398" t="s">
        <v>108</v>
      </c>
      <c r="D20" s="399"/>
      <c r="E20" s="400"/>
      <c r="F20" s="242">
        <v>0</v>
      </c>
      <c r="G20" s="254" t="s">
        <v>8</v>
      </c>
      <c r="H20" s="249">
        <f t="shared" si="0"/>
        <v>0</v>
      </c>
      <c r="I20" s="60">
        <f>F20/1000*'Specific Emissions'!F$11</f>
        <v>0</v>
      </c>
      <c r="J20" s="238">
        <f>IF(OR(I24="select service",I24="Select g11",I24="service quantity",I24=0),0,I20/I23)</f>
        <v>0</v>
      </c>
      <c r="K20" s="26"/>
      <c r="L20" s="36">
        <f>F20/1000*'Specific Emissions'!G$11</f>
        <v>0</v>
      </c>
      <c r="M20" s="228">
        <f>F20/1000*'Specific Emissions'!H$11</f>
        <v>0</v>
      </c>
      <c r="N20" s="220">
        <f>F20/1000*'Specific Emissions'!I$11</f>
        <v>0</v>
      </c>
      <c r="O20" s="37"/>
      <c r="P20" s="26"/>
      <c r="Q20" s="26"/>
      <c r="R20" s="26"/>
      <c r="S20" s="207"/>
    </row>
    <row r="21" spans="1:19" ht="18" thickBot="1">
      <c r="A21" s="61" t="s">
        <v>10</v>
      </c>
      <c r="B21" s="62">
        <v>9</v>
      </c>
      <c r="C21" s="424" t="s">
        <v>48</v>
      </c>
      <c r="D21" s="425"/>
      <c r="E21" s="426"/>
      <c r="F21" s="244">
        <v>1</v>
      </c>
      <c r="G21" s="256" t="s">
        <v>27</v>
      </c>
      <c r="H21" s="250">
        <f>SUM(H16:H20,H9:H11)</f>
        <v>1</v>
      </c>
      <c r="I21" s="63">
        <f>IF(C21="","0.0",VLOOKUP(C21,PrecastCementTypes,4,FALSE)*F21)</f>
        <v>10.545461955731758</v>
      </c>
      <c r="J21" s="239">
        <f>IF(OR(I24="select service",I24="Select g11",I24="service quantity",I24=0),0,I21/I23)</f>
        <v>0.0218357483831876</v>
      </c>
      <c r="K21" s="49"/>
      <c r="L21" s="63">
        <f>IF(C21="","0.0",VLOOKUP(C21,PrecastCementTypes,5,FALSE)*F21)</f>
        <v>0.7381499303630479</v>
      </c>
      <c r="M21" s="229">
        <f>IF(C21="","0.0",VLOOKUP(C21,PrecastCementTypes,6,FALSE)*F21)</f>
        <v>1.0286446018123998</v>
      </c>
      <c r="N21" s="221">
        <f>IF(C21="","0.0",VLOOKUP(C21,PrecastCementTypes,7,FALSE)*F21)</f>
        <v>8.77866742355631</v>
      </c>
      <c r="O21" s="79"/>
      <c r="P21" s="49"/>
      <c r="Q21" s="49"/>
      <c r="R21" s="49"/>
      <c r="S21" s="206"/>
    </row>
    <row r="22" spans="1:19" ht="3.75" customHeight="1" thickBot="1">
      <c r="A22" s="50"/>
      <c r="B22" s="50"/>
      <c r="C22" s="50"/>
      <c r="D22" s="50"/>
      <c r="E22" s="64"/>
      <c r="F22" s="64"/>
      <c r="G22" s="64"/>
      <c r="H22" s="64"/>
      <c r="I22" s="64"/>
      <c r="J22" s="64"/>
      <c r="K22" s="49"/>
      <c r="L22" s="64"/>
      <c r="M22" s="64"/>
      <c r="N22" s="64"/>
      <c r="O22" s="51"/>
      <c r="P22" s="49"/>
      <c r="Q22" s="49"/>
      <c r="R22" s="49"/>
      <c r="S22" s="206"/>
    </row>
    <row r="23" spans="1:19" ht="19.5" customHeight="1" thickBot="1">
      <c r="A23" s="50"/>
      <c r="B23" s="50"/>
      <c r="C23" s="410" t="s">
        <v>100</v>
      </c>
      <c r="D23" s="411"/>
      <c r="E23" s="411"/>
      <c r="F23" s="154">
        <f>F21</f>
        <v>1</v>
      </c>
      <c r="G23" s="81" t="s">
        <v>49</v>
      </c>
      <c r="H23" s="65"/>
      <c r="I23" s="66">
        <f>I24*F23</f>
        <v>482.944837551399</v>
      </c>
      <c r="J23" s="257">
        <f>IF(F21=0,0,SUM(J9:J11,J16:J21))</f>
        <v>0.9999999999999999</v>
      </c>
      <c r="K23" s="49"/>
      <c r="L23" s="67">
        <f>L24*F23</f>
        <v>388.67613557330753</v>
      </c>
      <c r="M23" s="231">
        <f>M24*F23</f>
        <v>75.23335646161985</v>
      </c>
      <c r="N23" s="230">
        <f>N24*F23</f>
        <v>19.035345516471587</v>
      </c>
      <c r="O23" s="51"/>
      <c r="P23" s="49"/>
      <c r="Q23" s="49"/>
      <c r="R23" s="49"/>
      <c r="S23" s="206"/>
    </row>
    <row r="24" spans="1:19" ht="19.5" customHeight="1" thickBot="1">
      <c r="A24" s="50"/>
      <c r="B24" s="50"/>
      <c r="C24" s="410" t="s">
        <v>101</v>
      </c>
      <c r="D24" s="411"/>
      <c r="E24" s="411"/>
      <c r="F24" s="154">
        <v>1</v>
      </c>
      <c r="G24" s="81" t="s">
        <v>49</v>
      </c>
      <c r="H24" s="65"/>
      <c r="I24" s="66">
        <f>IF(C21="","Select service",IF(F21="","Service quantity",IF(G10="","Select G11",IF(F21=0,0,SUM(I9:I11,I16:I21)/F21))))</f>
        <v>482.944837551399</v>
      </c>
      <c r="J24" s="257"/>
      <c r="K24" s="49"/>
      <c r="L24" s="67">
        <f>IF(I24=0,0,SUM(L9:L11,L16:L21)/F21)</f>
        <v>388.67613557330753</v>
      </c>
      <c r="M24" s="231">
        <f>IF(I24=0,0,SUM(M9:M11,M16:M21)/F21)</f>
        <v>75.23335646161985</v>
      </c>
      <c r="N24" s="230">
        <f>IF(I24=0,0,SUM(N9:N11,N16:N21)/F21)</f>
        <v>19.035345516471587</v>
      </c>
      <c r="O24" s="51"/>
      <c r="P24" s="49"/>
      <c r="Q24" s="49"/>
      <c r="R24" s="49"/>
      <c r="S24" s="206"/>
    </row>
    <row r="25" spans="1:19" ht="15.75" thickBot="1">
      <c r="A25" s="50"/>
      <c r="B25" s="50"/>
      <c r="C25" s="50"/>
      <c r="D25" s="50"/>
      <c r="E25" s="50"/>
      <c r="F25" s="64"/>
      <c r="G25" s="50"/>
      <c r="H25" s="50"/>
      <c r="I25" s="68"/>
      <c r="J25" s="49"/>
      <c r="K25" s="49"/>
      <c r="L25" s="49"/>
      <c r="M25" s="49"/>
      <c r="N25" s="49"/>
      <c r="O25" s="49"/>
      <c r="P25" s="49"/>
      <c r="Q25" s="49"/>
      <c r="R25" s="49"/>
      <c r="S25" s="206"/>
    </row>
    <row r="26" spans="1:19" ht="19.5" customHeight="1" thickBot="1">
      <c r="A26" s="50"/>
      <c r="B26" s="82" t="str">
        <f>IF(C21="","No Selection",C21)</f>
        <v>Mixed Concrete</v>
      </c>
      <c r="C26" s="69" t="s">
        <v>50</v>
      </c>
      <c r="D26" s="267">
        <v>1</v>
      </c>
      <c r="E26" s="73" t="s">
        <v>51</v>
      </c>
      <c r="F26" s="106">
        <f>IF(F21="","0",(SUM(F9,F11,F16:F20,F10))/F21)</f>
        <v>2415</v>
      </c>
      <c r="G26" s="70" t="str">
        <f>IF(F11=0,"",IF(ABS(F26-2400)/2400&gt;10%,"Note: High 10% variation from industry average density of 2400 kg/m3.","Note: Density close to industry rule of thumb of 2400 kg/m3."))</f>
        <v>Note: Density close to industry rule of thumb of 2400 kg/m3.</v>
      </c>
      <c r="H26" s="71"/>
      <c r="I26" s="71"/>
      <c r="J26" s="71"/>
      <c r="K26" s="72"/>
      <c r="L26" s="72"/>
      <c r="M26" s="72"/>
      <c r="N26" s="73"/>
      <c r="O26" s="49"/>
      <c r="P26" s="49"/>
      <c r="Q26" s="49"/>
      <c r="R26" s="49"/>
      <c r="S26" s="206"/>
    </row>
    <row r="27" spans="1:19" ht="15">
      <c r="A27" s="49"/>
      <c r="B27" s="50"/>
      <c r="C27" s="49"/>
      <c r="D27" s="49"/>
      <c r="E27" s="49"/>
      <c r="F27" s="49"/>
      <c r="G27" s="49"/>
      <c r="H27" s="49"/>
      <c r="I27" s="49"/>
      <c r="J27" s="79"/>
      <c r="K27" s="49"/>
      <c r="L27" s="49"/>
      <c r="M27" s="49"/>
      <c r="N27" s="49"/>
      <c r="O27" s="49"/>
      <c r="P27" s="49"/>
      <c r="Q27" s="49"/>
      <c r="R27" s="49"/>
      <c r="S27" s="206"/>
    </row>
    <row r="28" spans="1:19" ht="15.75" thickBot="1">
      <c r="A28" s="49"/>
      <c r="B28" s="49"/>
      <c r="C28" s="49"/>
      <c r="D28" s="49"/>
      <c r="E28" s="50"/>
      <c r="F28" s="49"/>
      <c r="G28" s="74"/>
      <c r="H28" s="74"/>
      <c r="I28" s="74"/>
      <c r="J28" s="74"/>
      <c r="K28" s="49"/>
      <c r="L28" s="49"/>
      <c r="M28" s="49"/>
      <c r="N28" s="49"/>
      <c r="O28" s="49"/>
      <c r="P28" s="49"/>
      <c r="Q28" s="49"/>
      <c r="R28" s="49"/>
      <c r="S28" s="206"/>
    </row>
    <row r="29" spans="1:19" s="28" customFormat="1" ht="13.5" customHeight="1">
      <c r="A29" s="26"/>
      <c r="B29" s="390" t="s">
        <v>120</v>
      </c>
      <c r="C29" s="392" t="s">
        <v>130</v>
      </c>
      <c r="D29" s="393"/>
      <c r="E29" s="394"/>
      <c r="F29" s="390" t="s">
        <v>57</v>
      </c>
      <c r="G29" s="442"/>
      <c r="H29" s="442"/>
      <c r="I29" s="442"/>
      <c r="J29" s="443"/>
      <c r="K29" s="49"/>
      <c r="L29" s="404" t="s">
        <v>52</v>
      </c>
      <c r="M29" s="405"/>
      <c r="N29" s="406"/>
      <c r="O29" s="4"/>
      <c r="P29" s="4"/>
      <c r="Q29" s="26"/>
      <c r="R29" s="26"/>
      <c r="S29" s="207"/>
    </row>
    <row r="30" spans="1:19" s="5" customFormat="1" ht="21" customHeight="1" thickBot="1">
      <c r="A30" s="4"/>
      <c r="B30" s="391"/>
      <c r="C30" s="395"/>
      <c r="D30" s="396"/>
      <c r="E30" s="397"/>
      <c r="F30" s="391"/>
      <c r="G30" s="444"/>
      <c r="H30" s="444"/>
      <c r="I30" s="444"/>
      <c r="J30" s="445"/>
      <c r="K30" s="49"/>
      <c r="L30" s="407"/>
      <c r="M30" s="408"/>
      <c r="N30" s="409"/>
      <c r="O30" s="4"/>
      <c r="P30" s="4"/>
      <c r="Q30" s="4"/>
      <c r="R30" s="4"/>
      <c r="S30" s="205"/>
    </row>
    <row r="31" spans="1:19" s="28" customFormat="1" ht="44.25" customHeight="1" thickBot="1">
      <c r="A31" s="4"/>
      <c r="B31" s="429" t="s">
        <v>14</v>
      </c>
      <c r="C31" s="430"/>
      <c r="D31" s="430"/>
      <c r="E31" s="431"/>
      <c r="F31" s="10" t="s">
        <v>13</v>
      </c>
      <c r="G31" s="251" t="s">
        <v>12</v>
      </c>
      <c r="H31" s="245" t="s">
        <v>20</v>
      </c>
      <c r="I31" s="152" t="s">
        <v>142</v>
      </c>
      <c r="J31" s="232" t="s">
        <v>141</v>
      </c>
      <c r="K31" s="26"/>
      <c r="L31" s="210" t="s">
        <v>72</v>
      </c>
      <c r="M31" s="222" t="s">
        <v>73</v>
      </c>
      <c r="N31" s="211" t="s">
        <v>74</v>
      </c>
      <c r="O31" s="26"/>
      <c r="P31" s="26"/>
      <c r="Q31" s="26"/>
      <c r="R31" s="26"/>
      <c r="S31" s="207"/>
    </row>
    <row r="32" spans="1:19" ht="15" customHeight="1">
      <c r="A32" s="435" t="s">
        <v>128</v>
      </c>
      <c r="B32" s="52">
        <v>1</v>
      </c>
      <c r="C32" s="412" t="s">
        <v>4</v>
      </c>
      <c r="D32" s="413"/>
      <c r="E32" s="414"/>
      <c r="F32" s="240">
        <v>2.43</v>
      </c>
      <c r="G32" s="252" t="s">
        <v>30</v>
      </c>
      <c r="H32" s="258">
        <f aca="true" t="shared" si="1" ref="H32:H43">IF(SUM(F$39:F$43,F$32:F$34)=0,0,F32/SUM(F$39:F$43,F$32:F$34))</f>
        <v>0.0009969517073310822</v>
      </c>
      <c r="I32" s="53">
        <f>(F32/1000*'Specific Emissions'!F$6)</f>
        <v>0.5346000000000001</v>
      </c>
      <c r="J32" s="233">
        <f>IF(OR(I47="select service",I47="Select G11",I47="service quantity",I47=0),0,I32/I46)</f>
        <v>0.0012730021726577885</v>
      </c>
      <c r="K32" s="49"/>
      <c r="L32" s="54">
        <f>F32/1000*'Specific Emissions'!G$6</f>
        <v>0.43740000000000007</v>
      </c>
      <c r="M32" s="223">
        <f>F32/1000*'Specific Emissions'!H$6</f>
        <v>0.09720000000000001</v>
      </c>
      <c r="N32" s="215">
        <f>F32/1000*'Specific Emissions'!I$6</f>
        <v>0</v>
      </c>
      <c r="O32" s="51"/>
      <c r="P32" s="49"/>
      <c r="Q32" s="49"/>
      <c r="R32" s="49"/>
      <c r="S32" s="206"/>
    </row>
    <row r="33" spans="1:19" ht="15">
      <c r="A33" s="436"/>
      <c r="B33" s="11">
        <v>2</v>
      </c>
      <c r="C33" s="401" t="s">
        <v>1</v>
      </c>
      <c r="D33" s="427"/>
      <c r="E33" s="428"/>
      <c r="F33" s="241">
        <f>1050+735</f>
        <v>1785</v>
      </c>
      <c r="G33" s="149" t="s">
        <v>8</v>
      </c>
      <c r="H33" s="259">
        <f t="shared" si="1"/>
        <v>0.7323287232864122</v>
      </c>
      <c r="I33" s="46">
        <f>IF(G33="","0.0",IF(G33="kg",F33/1000*'Specific Emissions'!$F$7,IF(G33="m3",F33*1.65*'Specific Emissions'!$F$7)))</f>
        <v>9.5676</v>
      </c>
      <c r="J33" s="234">
        <f>IF(OR(I47="select service",I47="Select g11",I47="service quantity",I47=0),0,I33/I46)</f>
        <v>0.02278259556139292</v>
      </c>
      <c r="K33" s="4"/>
      <c r="L33" s="47">
        <f>F33/1000*'Specific Emissions'!G$7</f>
        <v>3.40935</v>
      </c>
      <c r="M33" s="224">
        <f>F33/1000*'Specific Emissions'!H$7</f>
        <v>6.15825</v>
      </c>
      <c r="N33" s="216">
        <f>F33/1000*'Specific Emissions'!I$7</f>
        <v>0</v>
      </c>
      <c r="O33" s="35"/>
      <c r="P33" s="49"/>
      <c r="Q33" s="49"/>
      <c r="R33" s="49"/>
      <c r="S33" s="206"/>
    </row>
    <row r="34" spans="1:19" s="5" customFormat="1" ht="15">
      <c r="A34" s="436"/>
      <c r="B34" s="11">
        <v>3</v>
      </c>
      <c r="C34" s="418" t="s">
        <v>18</v>
      </c>
      <c r="D34" s="419"/>
      <c r="E34" s="420"/>
      <c r="F34" s="241">
        <v>405</v>
      </c>
      <c r="G34" s="149" t="s">
        <v>8</v>
      </c>
      <c r="H34" s="259">
        <f t="shared" si="1"/>
        <v>0.1661586178885137</v>
      </c>
      <c r="I34" s="46">
        <f>(IF(C34="","0.0",VLOOKUP(C34,ManufacturedTypesTable,6,FALSE)*(F34/1000)))</f>
        <v>399.0766385452027</v>
      </c>
      <c r="J34" s="234">
        <f>IF(OR(I47="select service",I47="Select g11",I47="service quantity",I47=0),0,I34/I46)</f>
        <v>0.9502907368593526</v>
      </c>
      <c r="K34" s="4"/>
      <c r="L34" s="20">
        <f>IF(C34="","0.0",VLOOKUP(C34,ManufacturedTypesTable,7,FALSE)*(F34/1000))</f>
        <v>331.3970472242395</v>
      </c>
      <c r="M34" s="224">
        <f>IF(C34="","0.0",VLOOKUP(C34,ManufacturedTypesTable,8,FALSE)*(F34/1000))</f>
        <v>58.84138998557877</v>
      </c>
      <c r="N34" s="216">
        <f>IF(C34="","0.0",VLOOKUP(C34,ManufacturedTypesTable,9,FALSE)*(F34/1000))</f>
        <v>8.83820133538444</v>
      </c>
      <c r="O34" s="8"/>
      <c r="P34" s="4"/>
      <c r="Q34" s="4"/>
      <c r="R34" s="4"/>
      <c r="S34" s="205"/>
    </row>
    <row r="35" spans="1:19" ht="12.75" customHeight="1" hidden="1" outlineLevel="1">
      <c r="A35" s="436"/>
      <c r="B35" s="21">
        <v>3.1</v>
      </c>
      <c r="C35" s="421" t="s">
        <v>42</v>
      </c>
      <c r="D35" s="422"/>
      <c r="E35" s="423"/>
      <c r="F35" s="24">
        <f>IF(F34=0,"0",VLOOKUP(C34,ManufacturedTypesTable,2,FALSE)*F34)</f>
        <v>405</v>
      </c>
      <c r="G35" s="253" t="s">
        <v>8</v>
      </c>
      <c r="H35" s="248">
        <f t="shared" si="1"/>
        <v>0.1661586178885137</v>
      </c>
      <c r="I35" s="22">
        <f>(F35/1000*'Specific Emissions'!$F$23)</f>
        <v>399.0766385452027</v>
      </c>
      <c r="J35" s="235">
        <f>IF(OR(I47="select service",I47="Select g11",I47="service quantity",I47=0),0,I35/I46)</f>
        <v>0.9502907368593526</v>
      </c>
      <c r="K35" s="23"/>
      <c r="L35" s="24">
        <f>F35/1000*'Specific Emissions'!$G$23</f>
        <v>331.3970472242395</v>
      </c>
      <c r="M35" s="225">
        <f>F35/1000*'Specific Emissions'!$H$23</f>
        <v>58.84138998557877</v>
      </c>
      <c r="N35" s="217">
        <f>F35/1000*'Specific Emissions'!$I$23</f>
        <v>8.83820133538444</v>
      </c>
      <c r="O35" s="51"/>
      <c r="P35" s="49"/>
      <c r="Q35" s="49"/>
      <c r="R35" s="49"/>
      <c r="S35" s="206"/>
    </row>
    <row r="36" spans="1:19" ht="12.75" customHeight="1" hidden="1" outlineLevel="1">
      <c r="A36" s="436"/>
      <c r="B36" s="21">
        <v>3.2</v>
      </c>
      <c r="C36" s="432" t="s">
        <v>69</v>
      </c>
      <c r="D36" s="433"/>
      <c r="E36" s="434"/>
      <c r="F36" s="24">
        <f>IF(F34=0,"0",VLOOKUP(C34,ManufacturedTypesTable,3,FALSE)*F34)</f>
        <v>0</v>
      </c>
      <c r="G36" s="253" t="s">
        <v>8</v>
      </c>
      <c r="H36" s="248">
        <f t="shared" si="1"/>
        <v>0</v>
      </c>
      <c r="I36" s="22">
        <f>(F36/1000*'Specific Emissions'!$F$8)</f>
        <v>0</v>
      </c>
      <c r="J36" s="235">
        <f>IF(OR(I47="select service",I47="Select g11",I47="service quantity",I47=0),0,I36/I46)</f>
        <v>0</v>
      </c>
      <c r="K36" s="23"/>
      <c r="L36" s="25">
        <f>F36/1000*'Specific Emissions'!$G$8</f>
        <v>0</v>
      </c>
      <c r="M36" s="225">
        <f>F36/1000*'Specific Emissions'!$H$8</f>
        <v>0</v>
      </c>
      <c r="N36" s="217">
        <f>F36/1000*'Specific Emissions'!$I$8</f>
        <v>0</v>
      </c>
      <c r="O36" s="51"/>
      <c r="P36" s="49"/>
      <c r="Q36" s="49"/>
      <c r="R36" s="49"/>
      <c r="S36" s="206"/>
    </row>
    <row r="37" spans="1:19" ht="12.75" customHeight="1" hidden="1" outlineLevel="1">
      <c r="A37" s="436"/>
      <c r="B37" s="21">
        <v>3.3</v>
      </c>
      <c r="C37" s="432" t="s">
        <v>106</v>
      </c>
      <c r="D37" s="433"/>
      <c r="E37" s="434"/>
      <c r="F37" s="24">
        <f>IF(F34=0,"0",VLOOKUP(C34,ManufacturedTypesTable,4,FALSE)*F34)</f>
        <v>0</v>
      </c>
      <c r="G37" s="253" t="s">
        <v>8</v>
      </c>
      <c r="H37" s="248">
        <f t="shared" si="1"/>
        <v>0</v>
      </c>
      <c r="I37" s="22">
        <f>F37/1000*'Specific Emissions'!$F$9</f>
        <v>0</v>
      </c>
      <c r="J37" s="235">
        <f>IF(OR(I47="select service",I47="Select g11",I47="service quantity",I47=0),0,I37/I46)</f>
        <v>0</v>
      </c>
      <c r="K37" s="23"/>
      <c r="L37" s="24">
        <f>F37/1000*'Specific Emissions'!$G$9</f>
        <v>0</v>
      </c>
      <c r="M37" s="225">
        <f>F37/1000*'Specific Emissions'!$H$9</f>
        <v>0</v>
      </c>
      <c r="N37" s="217">
        <f>F37/1000*'Specific Emissions'!$I$9</f>
        <v>0</v>
      </c>
      <c r="O37" s="51"/>
      <c r="P37" s="49"/>
      <c r="Q37" s="49"/>
      <c r="R37" s="49"/>
      <c r="S37" s="206"/>
    </row>
    <row r="38" spans="1:19" ht="12.75" customHeight="1" hidden="1" outlineLevel="1">
      <c r="A38" s="436"/>
      <c r="B38" s="21">
        <v>3.4</v>
      </c>
      <c r="C38" s="432" t="s">
        <v>107</v>
      </c>
      <c r="D38" s="433"/>
      <c r="E38" s="434"/>
      <c r="F38" s="24">
        <f>IF(F34=0,"0",VLOOKUP(C34,ManufacturedTypesTable,5,FALSE)*F34)</f>
        <v>0</v>
      </c>
      <c r="G38" s="253" t="s">
        <v>8</v>
      </c>
      <c r="H38" s="248">
        <f t="shared" si="1"/>
        <v>0</v>
      </c>
      <c r="I38" s="22">
        <f>F38/1000*'Specific Emissions'!$F$12</f>
        <v>0</v>
      </c>
      <c r="J38" s="235">
        <f>IF(OR(I47="select service",I47="Select g11",I47="service quantity",I47=0),0,I38/I46)</f>
        <v>0</v>
      </c>
      <c r="K38" s="23"/>
      <c r="L38" s="24">
        <f>F38/1000*'Specific Emissions'!$G$12</f>
        <v>0</v>
      </c>
      <c r="M38" s="225">
        <f>F38/1000*'Specific Emissions'!$H$12</f>
        <v>0</v>
      </c>
      <c r="N38" s="217">
        <f>F38/1000*'Specific Emissions'!$I$12</f>
        <v>0</v>
      </c>
      <c r="O38" s="51"/>
      <c r="P38" s="49"/>
      <c r="Q38" s="49"/>
      <c r="R38" s="49"/>
      <c r="S38" s="206"/>
    </row>
    <row r="39" spans="1:19" s="5" customFormat="1" ht="12.75" customHeight="1" collapsed="1">
      <c r="A39" s="436"/>
      <c r="B39" s="11">
        <v>4</v>
      </c>
      <c r="C39" s="401" t="s">
        <v>2</v>
      </c>
      <c r="D39" s="427"/>
      <c r="E39" s="428"/>
      <c r="F39" s="241">
        <v>0</v>
      </c>
      <c r="G39" s="149" t="s">
        <v>8</v>
      </c>
      <c r="H39" s="259">
        <f t="shared" si="1"/>
        <v>0</v>
      </c>
      <c r="I39" s="46">
        <f>F39/1000*'Specific Emissions'!F$8</f>
        <v>0</v>
      </c>
      <c r="J39" s="234">
        <f>IF(OR(I47="select service",I47="Select g11",I47="service quantity",I47=0),0,I39/I46)</f>
        <v>0</v>
      </c>
      <c r="K39" s="4"/>
      <c r="L39" s="47">
        <f>F39/1000*'Specific Emissions'!G$8</f>
        <v>0</v>
      </c>
      <c r="M39" s="224">
        <f>F39/1000*'Specific Emissions'!H$8</f>
        <v>0</v>
      </c>
      <c r="N39" s="216">
        <f>F39/1000*'Specific Emissions'!I$8</f>
        <v>0</v>
      </c>
      <c r="O39" s="8"/>
      <c r="P39" s="4"/>
      <c r="Q39" s="4"/>
      <c r="R39" s="4"/>
      <c r="S39" s="205"/>
    </row>
    <row r="40" spans="1:19" s="28" customFormat="1" ht="12.75" customHeight="1">
      <c r="A40" s="436"/>
      <c r="B40" s="32">
        <v>5</v>
      </c>
      <c r="C40" s="401" t="s">
        <v>105</v>
      </c>
      <c r="D40" s="402"/>
      <c r="E40" s="403"/>
      <c r="F40" s="242">
        <v>0</v>
      </c>
      <c r="G40" s="254" t="s">
        <v>8</v>
      </c>
      <c r="H40" s="259">
        <f t="shared" si="1"/>
        <v>0</v>
      </c>
      <c r="I40" s="33">
        <f>F40/1000*'Specific Emissions'!F$9</f>
        <v>0</v>
      </c>
      <c r="J40" s="236">
        <f>IF(OR(I47="select service",I47="Select g11",I47="service quantity",I47=0),0,I40/I46)</f>
        <v>0</v>
      </c>
      <c r="K40" s="26"/>
      <c r="L40" s="34">
        <f>F40/1000*'Specific Emissions'!G$9</f>
        <v>0</v>
      </c>
      <c r="M40" s="226">
        <f>F40/1000*'Specific Emissions'!H$9</f>
        <v>0</v>
      </c>
      <c r="N40" s="218">
        <f>F40/1000*'Specific Emissions'!I$9</f>
        <v>0</v>
      </c>
      <c r="O40" s="37"/>
      <c r="P40" s="26"/>
      <c r="Q40" s="26"/>
      <c r="R40" s="26"/>
      <c r="S40" s="207"/>
    </row>
    <row r="41" spans="1:19" ht="12.75" customHeight="1">
      <c r="A41" s="436"/>
      <c r="B41" s="77">
        <v>6</v>
      </c>
      <c r="C41" s="57" t="s">
        <v>53</v>
      </c>
      <c r="D41" s="78"/>
      <c r="E41" s="78"/>
      <c r="F41" s="243">
        <v>0</v>
      </c>
      <c r="G41" s="255" t="s">
        <v>8</v>
      </c>
      <c r="H41" s="259">
        <f t="shared" si="1"/>
        <v>0</v>
      </c>
      <c r="I41" s="58">
        <f>F41/1000*'Specific Emissions'!$F$12</f>
        <v>0</v>
      </c>
      <c r="J41" s="237">
        <f>IF(OR(I47="select service",I47="Select g11",I47="service quantity",I47=0),0,I41/I46)</f>
        <v>0</v>
      </c>
      <c r="K41" s="49"/>
      <c r="L41" s="59">
        <f>F41/1000*'Specific Emissions'!$G$12</f>
        <v>0</v>
      </c>
      <c r="M41" s="227">
        <f>F41/1000*'Specific Emissions'!$H$12</f>
        <v>0</v>
      </c>
      <c r="N41" s="219">
        <f>F41/1000*'Specific Emissions'!$I$12</f>
        <v>0</v>
      </c>
      <c r="O41" s="51"/>
      <c r="P41" s="49"/>
      <c r="Q41" s="49"/>
      <c r="R41" s="49"/>
      <c r="S41" s="206"/>
    </row>
    <row r="42" spans="1:19" s="5" customFormat="1" ht="15">
      <c r="A42" s="436"/>
      <c r="B42" s="6">
        <v>7</v>
      </c>
      <c r="C42" s="401" t="s">
        <v>9</v>
      </c>
      <c r="D42" s="427"/>
      <c r="E42" s="428"/>
      <c r="F42" s="241">
        <v>245</v>
      </c>
      <c r="G42" s="149" t="s">
        <v>30</v>
      </c>
      <c r="H42" s="259">
        <f t="shared" si="1"/>
        <v>0.10051570711774285</v>
      </c>
      <c r="I42" s="46">
        <f>F42/1000*'Specific Emissions'!F$10</f>
        <v>0.22785</v>
      </c>
      <c r="J42" s="234">
        <f>IF(OR(I47="select service",I47="Select g11",I47="service quantity",I47=0),0,I42/I46)</f>
        <v>0.0005425618126451123</v>
      </c>
      <c r="K42" s="4"/>
      <c r="L42" s="47">
        <f>F42/1000*'Specific Emissions'!G$10</f>
        <v>0.12759600000000001</v>
      </c>
      <c r="M42" s="224">
        <f>F42/1000*'Specific Emissions'!H$10</f>
        <v>0.100254</v>
      </c>
      <c r="N42" s="216">
        <f>F42/1000*'Specific Emissions'!I$10</f>
        <v>0</v>
      </c>
      <c r="O42" s="8"/>
      <c r="P42" s="4"/>
      <c r="Q42" s="4"/>
      <c r="R42" s="4"/>
      <c r="S42" s="205"/>
    </row>
    <row r="43" spans="1:19" s="28" customFormat="1" ht="15.75" thickBot="1">
      <c r="A43" s="437"/>
      <c r="B43" s="32">
        <v>8</v>
      </c>
      <c r="C43" s="398" t="s">
        <v>108</v>
      </c>
      <c r="D43" s="399"/>
      <c r="E43" s="400"/>
      <c r="F43" s="242">
        <v>0</v>
      </c>
      <c r="G43" s="254" t="s">
        <v>8</v>
      </c>
      <c r="H43" s="260">
        <f t="shared" si="1"/>
        <v>0</v>
      </c>
      <c r="I43" s="60">
        <f>F43/1000*'Specific Emissions'!F$11</f>
        <v>0</v>
      </c>
      <c r="J43" s="238">
        <f>IF(OR(I47="select service",I47="Select g11",I47="service quantity",I47=0),0,I43/I46)</f>
        <v>0</v>
      </c>
      <c r="K43" s="26"/>
      <c r="L43" s="36">
        <f>F43/1000*'Specific Emissions'!G$11</f>
        <v>0</v>
      </c>
      <c r="M43" s="228">
        <f>F43/1000*'Specific Emissions'!H$11</f>
        <v>0</v>
      </c>
      <c r="N43" s="220">
        <f>F43/1000*'Specific Emissions'!I$11</f>
        <v>0</v>
      </c>
      <c r="O43" s="37"/>
      <c r="P43" s="26"/>
      <c r="Q43" s="26"/>
      <c r="R43" s="26"/>
      <c r="S43" s="207"/>
    </row>
    <row r="44" spans="1:19" ht="18" thickBot="1">
      <c r="A44" s="61" t="s">
        <v>10</v>
      </c>
      <c r="B44" s="62">
        <v>9</v>
      </c>
      <c r="C44" s="424" t="s">
        <v>48</v>
      </c>
      <c r="D44" s="425"/>
      <c r="E44" s="426"/>
      <c r="F44" s="244">
        <v>1</v>
      </c>
      <c r="G44" s="256" t="s">
        <v>27</v>
      </c>
      <c r="H44" s="261">
        <f>SUM(H39:H43,H32:H34)</f>
        <v>0.9999999999999998</v>
      </c>
      <c r="I44" s="63">
        <f>IF(C44="","0.0",VLOOKUP(C44,PrecastCementTypes,4,FALSE)*F44)</f>
        <v>10.545461955731758</v>
      </c>
      <c r="J44" s="239">
        <f>IF(OR(I47="select service",I47="Select g11",I47="service quantity",I47=0),0,I44/I46)</f>
        <v>0.025111103593951696</v>
      </c>
      <c r="K44" s="49"/>
      <c r="L44" s="63">
        <f>IF(C44="","0.0",VLOOKUP(C44,PrecastCementTypes,5,FALSE)*F44)</f>
        <v>0.7381499303630479</v>
      </c>
      <c r="M44" s="229">
        <f>IF(C44="","0.0",VLOOKUP(C44,PrecastCementTypes,6,FALSE)*F44)</f>
        <v>1.0286446018123998</v>
      </c>
      <c r="N44" s="221">
        <f>IF(C44="","0.0",VLOOKUP(C44,PrecastCementTypes,7,FALSE)*F44)</f>
        <v>8.77866742355631</v>
      </c>
      <c r="O44" s="79"/>
      <c r="P44" s="49"/>
      <c r="Q44" s="49"/>
      <c r="R44" s="49"/>
      <c r="S44" s="206"/>
    </row>
    <row r="45" spans="1:19" ht="3.75" customHeight="1" thickBot="1">
      <c r="A45" s="50"/>
      <c r="B45" s="50"/>
      <c r="C45" s="50"/>
      <c r="D45" s="50"/>
      <c r="E45" s="64"/>
      <c r="F45" s="64"/>
      <c r="G45" s="64"/>
      <c r="H45" s="64"/>
      <c r="I45" s="64"/>
      <c r="J45" s="64"/>
      <c r="K45" s="49"/>
      <c r="L45" s="64"/>
      <c r="M45" s="64"/>
      <c r="N45" s="64"/>
      <c r="O45" s="51"/>
      <c r="P45" s="49"/>
      <c r="Q45" s="49"/>
      <c r="R45" s="49"/>
      <c r="S45" s="206"/>
    </row>
    <row r="46" spans="1:19" ht="19.5" customHeight="1" thickBot="1">
      <c r="A46" s="50"/>
      <c r="B46" s="50"/>
      <c r="C46" s="410" t="s">
        <v>100</v>
      </c>
      <c r="D46" s="411"/>
      <c r="E46" s="411"/>
      <c r="F46" s="104">
        <f>F44</f>
        <v>1</v>
      </c>
      <c r="G46" s="81" t="s">
        <v>49</v>
      </c>
      <c r="H46" s="65"/>
      <c r="I46" s="66">
        <f>I47*F46</f>
        <v>419.9521505009344</v>
      </c>
      <c r="J46" s="257">
        <f>IF(F44=0,0,SUM(J32:J34,J39:J44))</f>
        <v>1.0000000000000002</v>
      </c>
      <c r="K46" s="49"/>
      <c r="L46" s="67">
        <f>L47*F46</f>
        <v>336.1095431546025</v>
      </c>
      <c r="M46" s="231">
        <f>M47*F46</f>
        <v>66.22573858739118</v>
      </c>
      <c r="N46" s="230">
        <f>N47*F46</f>
        <v>17.61686875894075</v>
      </c>
      <c r="O46" s="51"/>
      <c r="P46" s="49"/>
      <c r="Q46" s="49"/>
      <c r="R46" s="49"/>
      <c r="S46" s="206"/>
    </row>
    <row r="47" spans="1:19" ht="19.5" customHeight="1" thickBot="1">
      <c r="A47" s="50"/>
      <c r="B47" s="50"/>
      <c r="C47" s="410" t="s">
        <v>101</v>
      </c>
      <c r="D47" s="411"/>
      <c r="E47" s="411"/>
      <c r="F47" s="80"/>
      <c r="G47" s="81"/>
      <c r="H47" s="65"/>
      <c r="I47" s="66">
        <f>IF(C44="","Select service",IF(F44="","Service quantity",IF(G33="","Select G11",IF(F44=0,0,SUM(I32:I34,I39:I44)/F44))))</f>
        <v>419.9521505009344</v>
      </c>
      <c r="J47" s="257"/>
      <c r="K47" s="49"/>
      <c r="L47" s="67">
        <f>IF(I47=0,0,SUM(L32:L34,L39:L44)/F44)</f>
        <v>336.1095431546025</v>
      </c>
      <c r="M47" s="231">
        <f>IF(I47=0,0,SUM(M32:M34,M39:M44)/F44)</f>
        <v>66.22573858739118</v>
      </c>
      <c r="N47" s="230">
        <f>IF(I47=0,0,SUM(N32:N34,N39:N44)/F44)</f>
        <v>17.61686875894075</v>
      </c>
      <c r="O47" s="51"/>
      <c r="P47" s="49"/>
      <c r="Q47" s="49"/>
      <c r="R47" s="49"/>
      <c r="S47" s="206"/>
    </row>
    <row r="48" spans="1:19" ht="15.75" thickBot="1">
      <c r="A48" s="50"/>
      <c r="B48" s="50"/>
      <c r="C48" s="50"/>
      <c r="D48" s="50"/>
      <c r="E48" s="50"/>
      <c r="F48" s="64"/>
      <c r="G48" s="50"/>
      <c r="H48" s="50"/>
      <c r="I48" s="68"/>
      <c r="J48" s="49"/>
      <c r="K48" s="49"/>
      <c r="L48" s="49"/>
      <c r="M48" s="49"/>
      <c r="N48" s="49"/>
      <c r="O48" s="49"/>
      <c r="P48" s="49"/>
      <c r="Q48" s="49"/>
      <c r="R48" s="49"/>
      <c r="S48" s="206"/>
    </row>
    <row r="49" spans="1:19" ht="19.5" customHeight="1" thickBot="1">
      <c r="A49" s="50"/>
      <c r="B49" s="82" t="str">
        <f>IF(C44="","No Selection",C44)</f>
        <v>Mixed Concrete</v>
      </c>
      <c r="C49" s="69" t="s">
        <v>50</v>
      </c>
      <c r="D49" s="267">
        <v>1</v>
      </c>
      <c r="E49" s="73" t="s">
        <v>51</v>
      </c>
      <c r="F49" s="106">
        <f>IF(F44=0,"0",(SUM(F32,F34,F39:F43,F33))/F44)</f>
        <v>2437.4300000000003</v>
      </c>
      <c r="G49" s="70" t="str">
        <f>IF(F34=0,"",IF(ABS(F49-2400)/2400&gt;10%,"Note: High 10% variation from industry average density of 2400 kg/m3.","Note: Density close to industry rule of thumb of 2400 kg/m3."))</f>
        <v>Note: Density close to industry rule of thumb of 2400 kg/m3.</v>
      </c>
      <c r="H49" s="71"/>
      <c r="I49" s="71"/>
      <c r="J49" s="71"/>
      <c r="K49" s="72"/>
      <c r="L49" s="72"/>
      <c r="M49" s="72"/>
      <c r="N49" s="73"/>
      <c r="O49" s="49"/>
      <c r="P49" s="49"/>
      <c r="Q49" s="49"/>
      <c r="R49" s="49"/>
      <c r="S49" s="206"/>
    </row>
    <row r="50" spans="1:19" s="75" customFormat="1" ht="15">
      <c r="A50" s="49"/>
      <c r="B50" s="50"/>
      <c r="C50" s="446"/>
      <c r="D50" s="446"/>
      <c r="E50" s="446"/>
      <c r="F50" s="49"/>
      <c r="G50" s="49"/>
      <c r="H50" s="49"/>
      <c r="I50" s="49"/>
      <c r="J50" s="49"/>
      <c r="K50" s="49"/>
      <c r="L50" s="49"/>
      <c r="M50" s="49"/>
      <c r="N50" s="49"/>
      <c r="O50" s="49"/>
      <c r="P50" s="49"/>
      <c r="Q50" s="49"/>
      <c r="R50" s="49"/>
      <c r="S50" s="206"/>
    </row>
    <row r="51" spans="1:19" s="75" customFormat="1" ht="15.75" thickBot="1">
      <c r="A51" s="49"/>
      <c r="B51" s="50"/>
      <c r="C51" s="50"/>
      <c r="D51" s="50"/>
      <c r="E51" s="50"/>
      <c r="F51" s="49"/>
      <c r="G51" s="49"/>
      <c r="H51" s="49"/>
      <c r="I51" s="49"/>
      <c r="J51" s="49"/>
      <c r="K51" s="49"/>
      <c r="L51" s="49"/>
      <c r="M51" s="49"/>
      <c r="N51" s="49"/>
      <c r="O51" s="49"/>
      <c r="P51" s="49"/>
      <c r="Q51" s="49"/>
      <c r="R51" s="49"/>
      <c r="S51" s="206"/>
    </row>
    <row r="52" spans="1:19" s="28" customFormat="1" ht="13.5" customHeight="1">
      <c r="A52" s="26"/>
      <c r="B52" s="390" t="s">
        <v>120</v>
      </c>
      <c r="C52" s="392"/>
      <c r="D52" s="393"/>
      <c r="E52" s="394"/>
      <c r="F52" s="390" t="s">
        <v>56</v>
      </c>
      <c r="G52" s="442"/>
      <c r="H52" s="442"/>
      <c r="I52" s="442"/>
      <c r="J52" s="443"/>
      <c r="K52" s="49"/>
      <c r="L52" s="404" t="s">
        <v>52</v>
      </c>
      <c r="M52" s="405"/>
      <c r="N52" s="406"/>
      <c r="O52" s="4"/>
      <c r="P52" s="4"/>
      <c r="Q52" s="26"/>
      <c r="R52" s="26"/>
      <c r="S52" s="207"/>
    </row>
    <row r="53" spans="1:19" s="5" customFormat="1" ht="21" customHeight="1" thickBot="1">
      <c r="A53" s="4"/>
      <c r="B53" s="391"/>
      <c r="C53" s="395"/>
      <c r="D53" s="396"/>
      <c r="E53" s="397"/>
      <c r="F53" s="391"/>
      <c r="G53" s="444"/>
      <c r="H53" s="444"/>
      <c r="I53" s="444"/>
      <c r="J53" s="445"/>
      <c r="K53" s="49"/>
      <c r="L53" s="407"/>
      <c r="M53" s="408"/>
      <c r="N53" s="409"/>
      <c r="O53" s="4"/>
      <c r="P53" s="4"/>
      <c r="Q53" s="4"/>
      <c r="R53" s="4"/>
      <c r="S53" s="205"/>
    </row>
    <row r="54" spans="1:19" s="28" customFormat="1" ht="41.25" customHeight="1" thickBot="1">
      <c r="A54" s="4"/>
      <c r="B54" s="429" t="s">
        <v>14</v>
      </c>
      <c r="C54" s="430"/>
      <c r="D54" s="430"/>
      <c r="E54" s="431"/>
      <c r="F54" s="10" t="s">
        <v>13</v>
      </c>
      <c r="G54" s="251" t="s">
        <v>12</v>
      </c>
      <c r="H54" s="245" t="s">
        <v>20</v>
      </c>
      <c r="I54" s="152" t="s">
        <v>142</v>
      </c>
      <c r="J54" s="232" t="s">
        <v>141</v>
      </c>
      <c r="K54" s="26"/>
      <c r="L54" s="210" t="s">
        <v>72</v>
      </c>
      <c r="M54" s="222" t="s">
        <v>73</v>
      </c>
      <c r="N54" s="211" t="s">
        <v>74</v>
      </c>
      <c r="O54" s="26"/>
      <c r="P54" s="26"/>
      <c r="Q54" s="26"/>
      <c r="R54" s="26"/>
      <c r="S54" s="207"/>
    </row>
    <row r="55" spans="1:19" ht="15" customHeight="1">
      <c r="A55" s="435" t="s">
        <v>128</v>
      </c>
      <c r="B55" s="52">
        <v>1</v>
      </c>
      <c r="C55" s="412" t="s">
        <v>4</v>
      </c>
      <c r="D55" s="413"/>
      <c r="E55" s="414"/>
      <c r="F55" s="240"/>
      <c r="G55" s="252" t="s">
        <v>30</v>
      </c>
      <c r="H55" s="258">
        <f aca="true" t="shared" si="2" ref="H55:H64">IF(SUM(F$62:F$66,F$55:F$57)=0,0,F55/SUM(F$62:F$66,F$55:F$57))</f>
        <v>0</v>
      </c>
      <c r="I55" s="53">
        <f>(F55/1000*'Specific Emissions'!F$6)</f>
        <v>0</v>
      </c>
      <c r="J55" s="233">
        <f>IF(OR(I70="select service",I70="Select G11",I70="service quantity",I70=0),0,I55/I69)</f>
        <v>0</v>
      </c>
      <c r="K55" s="49"/>
      <c r="L55" s="54">
        <f>F55/1000*'Specific Emissions'!G$6</f>
        <v>0</v>
      </c>
      <c r="M55" s="223">
        <f>F55/1000*'Specific Emissions'!H$6</f>
        <v>0</v>
      </c>
      <c r="N55" s="215">
        <f>F55/1000*'Specific Emissions'!I$6</f>
        <v>0</v>
      </c>
      <c r="O55" s="51"/>
      <c r="P55" s="49"/>
      <c r="Q55" s="49"/>
      <c r="R55" s="49"/>
      <c r="S55" s="206"/>
    </row>
    <row r="56" spans="1:19" ht="15">
      <c r="A56" s="436"/>
      <c r="B56" s="11">
        <v>2</v>
      </c>
      <c r="C56" s="401" t="s">
        <v>1</v>
      </c>
      <c r="D56" s="427"/>
      <c r="E56" s="428"/>
      <c r="F56" s="241"/>
      <c r="G56" s="149" t="s">
        <v>8</v>
      </c>
      <c r="H56" s="259">
        <f t="shared" si="2"/>
        <v>0</v>
      </c>
      <c r="I56" s="46">
        <f>IF(G56="","0.0",IF(G56="kg",F56/1000*'Specific Emissions'!$F$7,IF(G56="m3",F56*1.65*'Specific Emissions'!$F$7)))</f>
        <v>0</v>
      </c>
      <c r="J56" s="234">
        <f>IF(OR(I70="select service",I70="Select g11",I70="service quantity",I70=0),0,I56/I69)</f>
        <v>0</v>
      </c>
      <c r="K56" s="4"/>
      <c r="L56" s="47">
        <f>F56/1000*'Specific Emissions'!G$7</f>
        <v>0</v>
      </c>
      <c r="M56" s="224">
        <f>F56/1000*'Specific Emissions'!H$7</f>
        <v>0</v>
      </c>
      <c r="N56" s="216">
        <f>F56/1000*'Specific Emissions'!I$7</f>
        <v>0</v>
      </c>
      <c r="O56" s="35"/>
      <c r="P56" s="49"/>
      <c r="Q56" s="49"/>
      <c r="R56" s="49"/>
      <c r="S56" s="206"/>
    </row>
    <row r="57" spans="1:19" s="5" customFormat="1" ht="15">
      <c r="A57" s="436"/>
      <c r="B57" s="11">
        <v>3</v>
      </c>
      <c r="C57" s="418" t="s">
        <v>18</v>
      </c>
      <c r="D57" s="419"/>
      <c r="E57" s="420"/>
      <c r="F57" s="241"/>
      <c r="G57" s="149" t="s">
        <v>8</v>
      </c>
      <c r="H57" s="259">
        <f t="shared" si="2"/>
        <v>0</v>
      </c>
      <c r="I57" s="46">
        <f>(IF(C57="","0.0",VLOOKUP(C57,ManufacturedTypesTable,6,FALSE)*(F57/1000)))</f>
        <v>0</v>
      </c>
      <c r="J57" s="234">
        <f>IF(OR(I70="select service",I70="Select g11",I70="service quantity",I70=0),0,I57/I69)</f>
        <v>0</v>
      </c>
      <c r="K57" s="4"/>
      <c r="L57" s="20">
        <f>IF(C57="","0.0",VLOOKUP(C57,ManufacturedTypesTable,7,FALSE)*(F57/1000))</f>
        <v>0</v>
      </c>
      <c r="M57" s="224">
        <f>IF(C57="","0.0",VLOOKUP(C57,ManufacturedTypesTable,8,FALSE)*(F57/1000))</f>
        <v>0</v>
      </c>
      <c r="N57" s="216">
        <f>IF(C57="","0.0",VLOOKUP(C57,ManufacturedTypesTable,9,FALSE)*(F57/1000))</f>
        <v>0</v>
      </c>
      <c r="O57" s="8"/>
      <c r="P57" s="4"/>
      <c r="Q57" s="4"/>
      <c r="R57" s="4"/>
      <c r="S57" s="205"/>
    </row>
    <row r="58" spans="1:19" ht="12.75" customHeight="1" hidden="1" outlineLevel="1">
      <c r="A58" s="436"/>
      <c r="B58" s="21">
        <v>3.1</v>
      </c>
      <c r="C58" s="421" t="s">
        <v>42</v>
      </c>
      <c r="D58" s="422"/>
      <c r="E58" s="423"/>
      <c r="F58" s="24" t="str">
        <f>IF(F57=0,"0",VLOOKUP(C57,ManufacturedTypesTable,2,FALSE)*F57)</f>
        <v>0</v>
      </c>
      <c r="G58" s="253" t="s">
        <v>8</v>
      </c>
      <c r="H58" s="248">
        <f t="shared" si="2"/>
        <v>0</v>
      </c>
      <c r="I58" s="22">
        <f>(F58/1000*'Specific Emissions'!$F$23)</f>
        <v>0</v>
      </c>
      <c r="J58" s="235">
        <f>IF(OR(I70="select service",I70="Select g11",I70="service quantity",I70=0),0,I58/I69)</f>
        <v>0</v>
      </c>
      <c r="K58" s="23"/>
      <c r="L58" s="24">
        <f>F58/1000*'Specific Emissions'!$G$23</f>
        <v>0</v>
      </c>
      <c r="M58" s="225">
        <f>F58/1000*'Specific Emissions'!$H$23</f>
        <v>0</v>
      </c>
      <c r="N58" s="217">
        <f>F58/1000*'Specific Emissions'!$I$23</f>
        <v>0</v>
      </c>
      <c r="O58" s="51"/>
      <c r="P58" s="49"/>
      <c r="Q58" s="49"/>
      <c r="R58" s="49"/>
      <c r="S58" s="206"/>
    </row>
    <row r="59" spans="1:19" ht="12.75" customHeight="1" hidden="1" outlineLevel="1">
      <c r="A59" s="436"/>
      <c r="B59" s="21">
        <v>3.2</v>
      </c>
      <c r="C59" s="432" t="s">
        <v>69</v>
      </c>
      <c r="D59" s="433"/>
      <c r="E59" s="434"/>
      <c r="F59" s="24" t="str">
        <f>IF(F57=0,"0",VLOOKUP(C57,ManufacturedTypesTable,3,FALSE)*F57)</f>
        <v>0</v>
      </c>
      <c r="G59" s="253" t="s">
        <v>8</v>
      </c>
      <c r="H59" s="248">
        <f t="shared" si="2"/>
        <v>0</v>
      </c>
      <c r="I59" s="22">
        <f>(F59/1000*'Specific Emissions'!$F$8)</f>
        <v>0</v>
      </c>
      <c r="J59" s="235">
        <f>IF(OR(I70="select service",I70="Select g11",I70="service quantity",I70=0),0,I59/I69)</f>
        <v>0</v>
      </c>
      <c r="K59" s="23"/>
      <c r="L59" s="25">
        <f>F59/1000*'Specific Emissions'!$G$8</f>
        <v>0</v>
      </c>
      <c r="M59" s="225">
        <f>F59/1000*'Specific Emissions'!$H$8</f>
        <v>0</v>
      </c>
      <c r="N59" s="217">
        <f>F59/1000*'Specific Emissions'!$I$8</f>
        <v>0</v>
      </c>
      <c r="O59" s="51"/>
      <c r="P59" s="49"/>
      <c r="Q59" s="49"/>
      <c r="R59" s="49"/>
      <c r="S59" s="206"/>
    </row>
    <row r="60" spans="1:19" ht="12.75" customHeight="1" hidden="1" outlineLevel="1">
      <c r="A60" s="436"/>
      <c r="B60" s="21">
        <v>3.3</v>
      </c>
      <c r="C60" s="432" t="s">
        <v>106</v>
      </c>
      <c r="D60" s="433"/>
      <c r="E60" s="434"/>
      <c r="F60" s="24" t="str">
        <f>IF(F57=0,"0",VLOOKUP(C57,ManufacturedTypesTable,4,FALSE)*F57)</f>
        <v>0</v>
      </c>
      <c r="G60" s="253" t="s">
        <v>8</v>
      </c>
      <c r="H60" s="248">
        <f t="shared" si="2"/>
        <v>0</v>
      </c>
      <c r="I60" s="22">
        <f>F60/1000*'Specific Emissions'!$F$9</f>
        <v>0</v>
      </c>
      <c r="J60" s="235">
        <f>IF(OR(I70="select service",I70="Select g11",I70="service quantity",I70=0),0,I60/I69)</f>
        <v>0</v>
      </c>
      <c r="K60" s="23"/>
      <c r="L60" s="24">
        <f>F60/1000*'Specific Emissions'!$G$9</f>
        <v>0</v>
      </c>
      <c r="M60" s="225">
        <f>F60/1000*'Specific Emissions'!$H$9</f>
        <v>0</v>
      </c>
      <c r="N60" s="217">
        <f>F60/1000*'Specific Emissions'!$I$9</f>
        <v>0</v>
      </c>
      <c r="O60" s="51"/>
      <c r="P60" s="49"/>
      <c r="Q60" s="49"/>
      <c r="R60" s="49"/>
      <c r="S60" s="206"/>
    </row>
    <row r="61" spans="1:19" ht="12.75" customHeight="1" hidden="1" outlineLevel="1">
      <c r="A61" s="436"/>
      <c r="B61" s="21">
        <v>3.4</v>
      </c>
      <c r="C61" s="432" t="s">
        <v>107</v>
      </c>
      <c r="D61" s="433"/>
      <c r="E61" s="434"/>
      <c r="F61" s="24" t="str">
        <f>IF(F57=0,"0",VLOOKUP(C57,ManufacturedTypesTable,5,FALSE)*F57)</f>
        <v>0</v>
      </c>
      <c r="G61" s="253" t="s">
        <v>8</v>
      </c>
      <c r="H61" s="248">
        <f t="shared" si="2"/>
        <v>0</v>
      </c>
      <c r="I61" s="22">
        <f>F61/1000*'Specific Emissions'!$F$12</f>
        <v>0</v>
      </c>
      <c r="J61" s="235">
        <f>IF(OR(I70="select service",I70="Select g11",I70="service quantity",I70=0),0,I61/I69)</f>
        <v>0</v>
      </c>
      <c r="K61" s="23"/>
      <c r="L61" s="24">
        <f>F61/1000*'Specific Emissions'!$G$12</f>
        <v>0</v>
      </c>
      <c r="M61" s="225">
        <f>F61/1000*'Specific Emissions'!$H$12</f>
        <v>0</v>
      </c>
      <c r="N61" s="217">
        <f>F61/1000*'Specific Emissions'!$I$12</f>
        <v>0</v>
      </c>
      <c r="O61" s="51"/>
      <c r="P61" s="49"/>
      <c r="Q61" s="49"/>
      <c r="R61" s="49"/>
      <c r="S61" s="206"/>
    </row>
    <row r="62" spans="1:19" s="5" customFormat="1" ht="12.75" customHeight="1" collapsed="1">
      <c r="A62" s="436"/>
      <c r="B62" s="11">
        <v>4</v>
      </c>
      <c r="C62" s="401" t="s">
        <v>2</v>
      </c>
      <c r="D62" s="427"/>
      <c r="E62" s="428"/>
      <c r="F62" s="241"/>
      <c r="G62" s="149" t="s">
        <v>8</v>
      </c>
      <c r="H62" s="259">
        <f t="shared" si="2"/>
        <v>0</v>
      </c>
      <c r="I62" s="46">
        <f>F62/1000*'Specific Emissions'!F$8</f>
        <v>0</v>
      </c>
      <c r="J62" s="234">
        <f>IF(OR(I70="select service",I70="Select g11",I70="service quantity",I70=0),0,I62/I69)</f>
        <v>0</v>
      </c>
      <c r="K62" s="4"/>
      <c r="L62" s="47">
        <f>F62/1000*'Specific Emissions'!G$8</f>
        <v>0</v>
      </c>
      <c r="M62" s="224">
        <f>F62/1000*'Specific Emissions'!H$8</f>
        <v>0</v>
      </c>
      <c r="N62" s="216">
        <f>F62/1000*'Specific Emissions'!I$8</f>
        <v>0</v>
      </c>
      <c r="O62" s="8"/>
      <c r="P62" s="4"/>
      <c r="Q62" s="4"/>
      <c r="R62" s="4"/>
      <c r="S62" s="205"/>
    </row>
    <row r="63" spans="1:19" s="28" customFormat="1" ht="12.75" customHeight="1">
      <c r="A63" s="436"/>
      <c r="B63" s="32">
        <v>5</v>
      </c>
      <c r="C63" s="401" t="s">
        <v>105</v>
      </c>
      <c r="D63" s="402"/>
      <c r="E63" s="403"/>
      <c r="F63" s="242"/>
      <c r="G63" s="254" t="s">
        <v>8</v>
      </c>
      <c r="H63" s="259">
        <f t="shared" si="2"/>
        <v>0</v>
      </c>
      <c r="I63" s="33">
        <f>F63/1000*'Specific Emissions'!F$9</f>
        <v>0</v>
      </c>
      <c r="J63" s="236">
        <f>IF(OR(I70="select service",I70="Select g11",I70="service quantity",I70=0),0,I63/I69)</f>
        <v>0</v>
      </c>
      <c r="K63" s="26"/>
      <c r="L63" s="34">
        <f>F63/1000*'Specific Emissions'!G$9</f>
        <v>0</v>
      </c>
      <c r="M63" s="226">
        <f>F63/1000*'Specific Emissions'!H$9</f>
        <v>0</v>
      </c>
      <c r="N63" s="218">
        <f>F63/1000*'Specific Emissions'!I$9</f>
        <v>0</v>
      </c>
      <c r="O63" s="37"/>
      <c r="P63" s="26"/>
      <c r="Q63" s="26"/>
      <c r="R63" s="26"/>
      <c r="S63" s="207"/>
    </row>
    <row r="64" spans="1:19" ht="12.75" customHeight="1">
      <c r="A64" s="436"/>
      <c r="B64" s="77">
        <v>6</v>
      </c>
      <c r="C64" s="57" t="s">
        <v>53</v>
      </c>
      <c r="D64" s="78"/>
      <c r="E64" s="78"/>
      <c r="F64" s="243"/>
      <c r="G64" s="255" t="s">
        <v>8</v>
      </c>
      <c r="H64" s="259">
        <f t="shared" si="2"/>
        <v>0</v>
      </c>
      <c r="I64" s="58">
        <f>F64/1000*'Specific Emissions'!$F$12</f>
        <v>0</v>
      </c>
      <c r="J64" s="237">
        <f>IF(OR(I70="select service",I70="Select g11",I70="service quantity",I70=0),0,I64/I69)</f>
        <v>0</v>
      </c>
      <c r="K64" s="49"/>
      <c r="L64" s="59">
        <f>F64/1000*'Specific Emissions'!$G$12</f>
        <v>0</v>
      </c>
      <c r="M64" s="227">
        <f>F64/1000*'Specific Emissions'!$H$12</f>
        <v>0</v>
      </c>
      <c r="N64" s="219">
        <f>F64/1000*'Specific Emissions'!$I$12</f>
        <v>0</v>
      </c>
      <c r="O64" s="51"/>
      <c r="P64" s="49"/>
      <c r="Q64" s="49"/>
      <c r="R64" s="49"/>
      <c r="S64" s="206"/>
    </row>
    <row r="65" spans="1:19" s="5" customFormat="1" ht="15">
      <c r="A65" s="436"/>
      <c r="B65" s="6">
        <v>7</v>
      </c>
      <c r="C65" s="401" t="s">
        <v>9</v>
      </c>
      <c r="D65" s="427"/>
      <c r="E65" s="428"/>
      <c r="F65" s="241"/>
      <c r="G65" s="149" t="s">
        <v>30</v>
      </c>
      <c r="H65" s="259">
        <f>IF(SUM(F$39:F$43,F$32:F$34)=0,0,F65/SUM(F$39:F$43,F$32:F$34))</f>
        <v>0</v>
      </c>
      <c r="I65" s="46">
        <f>F65/1000*'Specific Emissions'!F$10</f>
        <v>0</v>
      </c>
      <c r="J65" s="234">
        <f>IF(OR(I70="select service",I70="Select g11",I70="service quantity",I70=0),0,I65/I69)</f>
        <v>0</v>
      </c>
      <c r="K65" s="4"/>
      <c r="L65" s="47">
        <f>F65/1000*'Specific Emissions'!G$10</f>
        <v>0</v>
      </c>
      <c r="M65" s="224">
        <f>F65/1000*'Specific Emissions'!H$10</f>
        <v>0</v>
      </c>
      <c r="N65" s="216">
        <f>F65/1000*'Specific Emissions'!I$10</f>
        <v>0</v>
      </c>
      <c r="O65" s="8"/>
      <c r="P65" s="4"/>
      <c r="Q65" s="4"/>
      <c r="R65" s="4"/>
      <c r="S65" s="205"/>
    </row>
    <row r="66" spans="1:19" s="28" customFormat="1" ht="15.75" thickBot="1">
      <c r="A66" s="437"/>
      <c r="B66" s="32">
        <v>8</v>
      </c>
      <c r="C66" s="398" t="s">
        <v>108</v>
      </c>
      <c r="D66" s="399"/>
      <c r="E66" s="400"/>
      <c r="F66" s="242"/>
      <c r="G66" s="254" t="s">
        <v>8</v>
      </c>
      <c r="H66" s="260">
        <f>IF(SUM(F$62:F$66,F$55:F$57)=0,0,F66/SUM(F$62:F$66,F$55:F$57))</f>
        <v>0</v>
      </c>
      <c r="I66" s="60">
        <f>F66/1000*'Specific Emissions'!F$11</f>
        <v>0</v>
      </c>
      <c r="J66" s="238">
        <f>IF(OR(I70="select service",I70="Select g11",I70="service quantity",I70=0),0,I66/I69)</f>
        <v>0</v>
      </c>
      <c r="K66" s="26"/>
      <c r="L66" s="36">
        <f>F66/1000*'Specific Emissions'!G$11</f>
        <v>0</v>
      </c>
      <c r="M66" s="228">
        <f>F66/1000*'Specific Emissions'!H$11</f>
        <v>0</v>
      </c>
      <c r="N66" s="220">
        <f>F66/1000*'Specific Emissions'!I$11</f>
        <v>0</v>
      </c>
      <c r="O66" s="37"/>
      <c r="P66" s="26"/>
      <c r="Q66" s="26"/>
      <c r="R66" s="26"/>
      <c r="S66" s="207"/>
    </row>
    <row r="67" spans="1:19" ht="18" thickBot="1">
      <c r="A67" s="61" t="s">
        <v>10</v>
      </c>
      <c r="B67" s="62">
        <v>9</v>
      </c>
      <c r="C67" s="424" t="s">
        <v>48</v>
      </c>
      <c r="D67" s="425"/>
      <c r="E67" s="426"/>
      <c r="F67" s="244">
        <v>1</v>
      </c>
      <c r="G67" s="256" t="s">
        <v>27</v>
      </c>
      <c r="H67" s="261">
        <f>SUM(H62:H66,H55:H57)</f>
        <v>0</v>
      </c>
      <c r="I67" s="63">
        <f>IF(C67="","0.0",VLOOKUP(C67,PrecastCementTypes,4,FALSE)*F67)</f>
        <v>10.545461955731758</v>
      </c>
      <c r="J67" s="239">
        <f>IF(OR(I70="select service",I70="Select g11",I70="service quantity",I70=0),0,I67/I69)</f>
        <v>1</v>
      </c>
      <c r="K67" s="49"/>
      <c r="L67" s="63">
        <f>IF(C67="","0.0",VLOOKUP(C67,PrecastCementTypes,5,FALSE)*F67)</f>
        <v>0.7381499303630479</v>
      </c>
      <c r="M67" s="229">
        <f>IF(C67="","0.0",VLOOKUP(C67,PrecastCementTypes,6,FALSE)*F67)</f>
        <v>1.0286446018123998</v>
      </c>
      <c r="N67" s="221">
        <f>IF(C67="","0.0",VLOOKUP(C67,PrecastCementTypes,7,FALSE)*F67)</f>
        <v>8.77866742355631</v>
      </c>
      <c r="O67" s="79"/>
      <c r="P67" s="49"/>
      <c r="Q67" s="49"/>
      <c r="R67" s="49"/>
      <c r="S67" s="206"/>
    </row>
    <row r="68" spans="1:19" ht="3.75" customHeight="1" thickBot="1">
      <c r="A68" s="209"/>
      <c r="B68" s="50"/>
      <c r="C68" s="50"/>
      <c r="D68" s="50"/>
      <c r="E68" s="64"/>
      <c r="F68" s="64"/>
      <c r="G68" s="64"/>
      <c r="H68" s="64"/>
      <c r="I68" s="64"/>
      <c r="J68" s="64"/>
      <c r="K68" s="49"/>
      <c r="L68" s="64"/>
      <c r="M68" s="64"/>
      <c r="N68" s="64"/>
      <c r="O68" s="51"/>
      <c r="P68" s="49"/>
      <c r="Q68" s="49"/>
      <c r="R68" s="49"/>
      <c r="S68" s="206"/>
    </row>
    <row r="69" spans="1:19" ht="19.5" customHeight="1" thickBot="1">
      <c r="A69" s="50"/>
      <c r="B69" s="50"/>
      <c r="C69" s="410" t="s">
        <v>100</v>
      </c>
      <c r="D69" s="411"/>
      <c r="E69" s="411"/>
      <c r="F69" s="104">
        <f>F67</f>
        <v>1</v>
      </c>
      <c r="G69" s="81" t="s">
        <v>49</v>
      </c>
      <c r="H69" s="65"/>
      <c r="I69" s="66">
        <f>I70*F69</f>
        <v>10.545461955731758</v>
      </c>
      <c r="J69" s="257">
        <f>IF(F67=0,0,SUM(J55:J57,J62:J67))</f>
        <v>1</v>
      </c>
      <c r="K69" s="49"/>
      <c r="L69" s="67">
        <f>L70*F69</f>
        <v>0.7381499303630479</v>
      </c>
      <c r="M69" s="231">
        <f>M70*F69</f>
        <v>1.0286446018123998</v>
      </c>
      <c r="N69" s="230">
        <f>N70*F69</f>
        <v>8.77866742355631</v>
      </c>
      <c r="O69" s="51"/>
      <c r="P69" s="49"/>
      <c r="Q69" s="49"/>
      <c r="R69" s="49"/>
      <c r="S69" s="206"/>
    </row>
    <row r="70" spans="1:19" ht="19.5" customHeight="1" thickBot="1">
      <c r="A70" s="50"/>
      <c r="B70" s="50"/>
      <c r="C70" s="410" t="s">
        <v>101</v>
      </c>
      <c r="D70" s="411"/>
      <c r="E70" s="411"/>
      <c r="F70" s="80">
        <v>1</v>
      </c>
      <c r="G70" s="81" t="s">
        <v>49</v>
      </c>
      <c r="H70" s="65"/>
      <c r="I70" s="66">
        <f>IF(C67="","Select service",IF(F67="","Service quantity",IF(G56="","Select G11",IF(F67=0,0,SUM(I55:I57,I62:I67)/F67))))</f>
        <v>10.545461955731758</v>
      </c>
      <c r="J70" s="257"/>
      <c r="K70" s="49"/>
      <c r="L70" s="67">
        <f>IF(I70=0,0,SUM(L55:L57,L62:L67)/F67)</f>
        <v>0.7381499303630479</v>
      </c>
      <c r="M70" s="231">
        <f>IF(I70=0,0,SUM(M55:M57,M62:M67)/F67)</f>
        <v>1.0286446018123998</v>
      </c>
      <c r="N70" s="230">
        <f>IF(I70=0,0,SUM(N55:N57,N62:N67)/F67)</f>
        <v>8.77866742355631</v>
      </c>
      <c r="O70" s="51"/>
      <c r="P70" s="49"/>
      <c r="Q70" s="49"/>
      <c r="R70" s="49"/>
      <c r="S70" s="206"/>
    </row>
    <row r="71" spans="1:19" ht="15.75" thickBot="1">
      <c r="A71" s="50"/>
      <c r="B71" s="50"/>
      <c r="C71" s="50"/>
      <c r="D71" s="50"/>
      <c r="E71" s="50"/>
      <c r="F71" s="64"/>
      <c r="G71" s="50"/>
      <c r="H71" s="50"/>
      <c r="I71" s="68"/>
      <c r="J71" s="49"/>
      <c r="K71" s="49"/>
      <c r="L71" s="49"/>
      <c r="M71" s="49"/>
      <c r="N71" s="49"/>
      <c r="O71" s="49"/>
      <c r="P71" s="49"/>
      <c r="Q71" s="49"/>
      <c r="R71" s="49"/>
      <c r="S71" s="206"/>
    </row>
    <row r="72" spans="1:19" ht="19.5" customHeight="1" thickBot="1">
      <c r="A72" s="50"/>
      <c r="B72" s="82" t="str">
        <f>IF(C67="","No Selection",C67)</f>
        <v>Mixed Concrete</v>
      </c>
      <c r="C72" s="69" t="s">
        <v>50</v>
      </c>
      <c r="D72" s="267">
        <v>1</v>
      </c>
      <c r="E72" s="73" t="s">
        <v>51</v>
      </c>
      <c r="F72" s="106">
        <f>IF(F67=0,"0",(SUM(F55,F57,F62:F66,F56))/F67)</f>
        <v>0</v>
      </c>
      <c r="G72" s="70">
        <f>IF(F57=0,"",IF(ABS(F72-2400)/2400&gt;10%,"Note: High 10% variation from industry average density of 2400 kg/m3.","Note: Density close to industry rule of thumb of 2400 kg/m3."))</f>
      </c>
      <c r="H72" s="71"/>
      <c r="I72" s="71"/>
      <c r="J72" s="71"/>
      <c r="K72" s="72"/>
      <c r="L72" s="72"/>
      <c r="M72" s="72"/>
      <c r="N72" s="73"/>
      <c r="O72" s="49"/>
      <c r="P72" s="49"/>
      <c r="Q72" s="49"/>
      <c r="R72" s="49"/>
      <c r="S72" s="206"/>
    </row>
    <row r="73" spans="1:19" ht="15">
      <c r="A73" s="49"/>
      <c r="B73" s="50"/>
      <c r="C73" s="49"/>
      <c r="D73" s="49"/>
      <c r="E73" s="49"/>
      <c r="F73" s="49"/>
      <c r="G73" s="49"/>
      <c r="H73" s="49"/>
      <c r="I73" s="49"/>
      <c r="J73" s="49"/>
      <c r="K73" s="49"/>
      <c r="L73" s="49"/>
      <c r="M73" s="49"/>
      <c r="N73" s="49"/>
      <c r="O73" s="49"/>
      <c r="P73" s="49"/>
      <c r="Q73" s="49"/>
      <c r="R73" s="49"/>
      <c r="S73" s="206"/>
    </row>
    <row r="74" spans="1:19" ht="15">
      <c r="A74" s="49"/>
      <c r="B74" s="50"/>
      <c r="C74" s="49"/>
      <c r="D74" s="49"/>
      <c r="E74" s="49"/>
      <c r="F74" s="49"/>
      <c r="G74" s="49"/>
      <c r="H74" s="49"/>
      <c r="I74" s="49"/>
      <c r="J74" s="49"/>
      <c r="K74" s="49"/>
      <c r="L74" s="49"/>
      <c r="M74" s="49"/>
      <c r="N74" s="49"/>
      <c r="O74" s="49"/>
      <c r="P74" s="49"/>
      <c r="Q74" s="49"/>
      <c r="R74" s="49"/>
      <c r="S74" s="206"/>
    </row>
    <row r="75" spans="1:19" ht="15">
      <c r="A75" s="49"/>
      <c r="B75" s="49"/>
      <c r="C75" s="50"/>
      <c r="D75" s="50"/>
      <c r="E75" s="68"/>
      <c r="F75" s="49"/>
      <c r="G75" s="49"/>
      <c r="H75" s="49"/>
      <c r="I75" s="49"/>
      <c r="J75" s="49"/>
      <c r="K75" s="49"/>
      <c r="L75" s="49"/>
      <c r="M75" s="49"/>
      <c r="N75" s="49"/>
      <c r="O75" s="49"/>
      <c r="P75" s="49"/>
      <c r="Q75" s="49"/>
      <c r="R75" s="49"/>
      <c r="S75" s="206"/>
    </row>
    <row r="76" spans="1:19" ht="15">
      <c r="A76" s="49"/>
      <c r="B76" s="49"/>
      <c r="C76" s="50"/>
      <c r="D76" s="50"/>
      <c r="E76" s="68"/>
      <c r="F76" s="49"/>
      <c r="G76" s="49"/>
      <c r="H76" s="50"/>
      <c r="I76" s="50"/>
      <c r="J76" s="68"/>
      <c r="K76" s="49"/>
      <c r="L76" s="49"/>
      <c r="M76" s="49"/>
      <c r="N76" s="49"/>
      <c r="O76" s="49"/>
      <c r="P76" s="49"/>
      <c r="Q76" s="49"/>
      <c r="R76" s="49"/>
      <c r="S76" s="206"/>
    </row>
    <row r="77" spans="1:19" ht="15">
      <c r="A77" s="49"/>
      <c r="B77" s="49"/>
      <c r="C77" s="50"/>
      <c r="D77" s="50"/>
      <c r="E77" s="68"/>
      <c r="F77" s="49"/>
      <c r="G77" s="49"/>
      <c r="H77" s="50"/>
      <c r="I77" s="50"/>
      <c r="J77" s="68"/>
      <c r="K77" s="49"/>
      <c r="L77" s="49"/>
      <c r="M77" s="49"/>
      <c r="N77" s="49"/>
      <c r="O77" s="49"/>
      <c r="P77" s="49"/>
      <c r="Q77" s="49"/>
      <c r="R77" s="49"/>
      <c r="S77" s="206"/>
    </row>
    <row r="78" spans="1:19" ht="15">
      <c r="A78" s="49"/>
      <c r="B78" s="49"/>
      <c r="C78" s="50"/>
      <c r="D78" s="50"/>
      <c r="E78" s="68"/>
      <c r="F78" s="49"/>
      <c r="G78" s="49"/>
      <c r="H78" s="50"/>
      <c r="I78" s="50"/>
      <c r="J78" s="68"/>
      <c r="K78" s="49"/>
      <c r="L78" s="49"/>
      <c r="M78" s="49"/>
      <c r="N78" s="49"/>
      <c r="O78" s="49"/>
      <c r="P78" s="49"/>
      <c r="Q78" s="49"/>
      <c r="R78" s="49"/>
      <c r="S78" s="206"/>
    </row>
    <row r="79" spans="1:19" ht="15">
      <c r="A79" s="49"/>
      <c r="B79" s="49"/>
      <c r="C79" s="49"/>
      <c r="D79" s="49"/>
      <c r="E79" s="50"/>
      <c r="F79" s="49"/>
      <c r="G79" s="50"/>
      <c r="H79" s="50"/>
      <c r="I79" s="50"/>
      <c r="J79" s="68"/>
      <c r="K79" s="49"/>
      <c r="L79" s="49"/>
      <c r="M79" s="49"/>
      <c r="N79" s="49"/>
      <c r="O79" s="49"/>
      <c r="P79" s="49"/>
      <c r="Q79" s="49"/>
      <c r="R79" s="49"/>
      <c r="S79" s="206"/>
    </row>
    <row r="80" spans="1:19" ht="15">
      <c r="A80" s="49"/>
      <c r="B80" s="49"/>
      <c r="C80" s="49"/>
      <c r="D80" s="49"/>
      <c r="E80" s="50"/>
      <c r="F80" s="49"/>
      <c r="G80" s="50"/>
      <c r="H80" s="50"/>
      <c r="I80" s="50"/>
      <c r="J80" s="68"/>
      <c r="K80" s="49"/>
      <c r="L80" s="49"/>
      <c r="M80" s="49"/>
      <c r="N80" s="49"/>
      <c r="O80" s="49"/>
      <c r="P80" s="49"/>
      <c r="Q80" s="49"/>
      <c r="R80" s="49"/>
      <c r="S80" s="206"/>
    </row>
    <row r="81" spans="1:19" ht="15">
      <c r="A81" s="49"/>
      <c r="B81" s="49"/>
      <c r="C81" s="49"/>
      <c r="D81" s="49"/>
      <c r="E81" s="50"/>
      <c r="F81" s="49"/>
      <c r="G81" s="50"/>
      <c r="H81" s="50"/>
      <c r="I81" s="50"/>
      <c r="J81" s="68"/>
      <c r="K81" s="49"/>
      <c r="L81" s="49"/>
      <c r="M81" s="49"/>
      <c r="N81" s="49"/>
      <c r="O81" s="49"/>
      <c r="P81" s="49"/>
      <c r="Q81" s="49"/>
      <c r="R81" s="49"/>
      <c r="S81" s="206"/>
    </row>
    <row r="82" spans="1:19" ht="15">
      <c r="A82" s="49"/>
      <c r="B82" s="49"/>
      <c r="C82" s="49"/>
      <c r="D82" s="49"/>
      <c r="E82" s="50"/>
      <c r="F82" s="49"/>
      <c r="G82" s="50"/>
      <c r="H82" s="50"/>
      <c r="I82" s="50"/>
      <c r="J82" s="68"/>
      <c r="K82" s="49"/>
      <c r="L82" s="49"/>
      <c r="M82" s="49"/>
      <c r="N82" s="49"/>
      <c r="O82" s="49"/>
      <c r="P82" s="49"/>
      <c r="Q82" s="49"/>
      <c r="R82" s="49"/>
      <c r="S82" s="206"/>
    </row>
    <row r="83" spans="1:19" ht="15">
      <c r="A83" s="49"/>
      <c r="B83" s="49"/>
      <c r="C83" s="49"/>
      <c r="D83" s="49"/>
      <c r="E83" s="50"/>
      <c r="F83" s="49"/>
      <c r="G83" s="50"/>
      <c r="H83" s="50"/>
      <c r="I83" s="50"/>
      <c r="J83" s="68"/>
      <c r="K83" s="49"/>
      <c r="L83" s="49"/>
      <c r="M83" s="49"/>
      <c r="N83" s="49"/>
      <c r="O83" s="49"/>
      <c r="P83" s="49"/>
      <c r="Q83" s="49"/>
      <c r="R83" s="49"/>
      <c r="S83" s="206"/>
    </row>
    <row r="84" spans="1:19" ht="66.75" customHeight="1">
      <c r="A84" s="49"/>
      <c r="B84" s="49"/>
      <c r="C84" s="49"/>
      <c r="D84" s="49"/>
      <c r="E84" s="50"/>
      <c r="F84" s="49"/>
      <c r="G84" s="50"/>
      <c r="H84" s="50"/>
      <c r="I84" s="50"/>
      <c r="J84" s="68"/>
      <c r="K84" s="49"/>
      <c r="L84" s="49"/>
      <c r="M84" s="49"/>
      <c r="N84" s="49"/>
      <c r="O84" s="49"/>
      <c r="P84" s="49"/>
      <c r="Q84" s="49"/>
      <c r="R84" s="49"/>
      <c r="S84" s="206"/>
    </row>
    <row r="85" spans="1:19" ht="138.75" customHeight="1">
      <c r="A85" s="49"/>
      <c r="B85" s="49"/>
      <c r="C85" s="49"/>
      <c r="D85" s="49"/>
      <c r="E85" s="50"/>
      <c r="F85" s="49"/>
      <c r="G85" s="50"/>
      <c r="H85" s="50"/>
      <c r="I85" s="50"/>
      <c r="J85" s="68"/>
      <c r="K85" s="49"/>
      <c r="L85" s="49"/>
      <c r="M85" s="49"/>
      <c r="N85" s="49"/>
      <c r="O85" s="49"/>
      <c r="P85" s="49"/>
      <c r="Q85" s="49"/>
      <c r="R85" s="49"/>
      <c r="S85" s="206"/>
    </row>
    <row r="86" spans="1:19" ht="129" customHeight="1">
      <c r="A86" s="49"/>
      <c r="B86" s="49"/>
      <c r="C86" s="49"/>
      <c r="D86" s="49"/>
      <c r="E86" s="50"/>
      <c r="F86" s="49"/>
      <c r="G86" s="50"/>
      <c r="H86" s="50"/>
      <c r="I86" s="50"/>
      <c r="J86" s="68"/>
      <c r="K86" s="49"/>
      <c r="L86" s="49"/>
      <c r="M86" s="49"/>
      <c r="N86" s="49"/>
      <c r="O86" s="49"/>
      <c r="P86" s="49"/>
      <c r="Q86" s="49"/>
      <c r="R86" s="49"/>
      <c r="S86" s="206"/>
    </row>
    <row r="87" spans="5:10" s="49" customFormat="1" ht="15">
      <c r="E87" s="50"/>
      <c r="G87" s="50"/>
      <c r="H87" s="50"/>
      <c r="I87" s="50"/>
      <c r="J87" s="68"/>
    </row>
    <row r="88" spans="1:19" s="75" customFormat="1" ht="15" hidden="1">
      <c r="A88" s="438"/>
      <c r="B88" s="439"/>
      <c r="C88" s="439"/>
      <c r="D88" s="439"/>
      <c r="E88" s="439"/>
      <c r="F88" s="439"/>
      <c r="G88" s="439"/>
      <c r="H88" s="439"/>
      <c r="I88" s="439"/>
      <c r="J88" s="439"/>
      <c r="K88" s="439"/>
      <c r="L88" s="439"/>
      <c r="M88" s="439"/>
      <c r="N88" s="439"/>
      <c r="O88" s="439"/>
      <c r="P88" s="439"/>
      <c r="Q88" s="439"/>
      <c r="R88" s="439"/>
      <c r="S88" s="439"/>
    </row>
    <row r="89" spans="1:19" s="75" customFormat="1" ht="15" hidden="1">
      <c r="A89" s="438"/>
      <c r="B89" s="439"/>
      <c r="C89" s="439"/>
      <c r="D89" s="439"/>
      <c r="E89" s="439"/>
      <c r="F89" s="439"/>
      <c r="G89" s="439"/>
      <c r="H89" s="439"/>
      <c r="I89" s="439"/>
      <c r="J89" s="439"/>
      <c r="K89" s="439"/>
      <c r="L89" s="439"/>
      <c r="M89" s="439"/>
      <c r="N89" s="439"/>
      <c r="O89" s="439"/>
      <c r="P89" s="439"/>
      <c r="Q89" s="439"/>
      <c r="R89" s="439"/>
      <c r="S89" s="439"/>
    </row>
    <row r="90" spans="1:19" s="75" customFormat="1" ht="15" customHeight="1" hidden="1">
      <c r="A90" s="438"/>
      <c r="B90" s="439"/>
      <c r="C90" s="439"/>
      <c r="D90" s="439"/>
      <c r="E90" s="439"/>
      <c r="F90" s="439"/>
      <c r="G90" s="439"/>
      <c r="H90" s="439"/>
      <c r="I90" s="439"/>
      <c r="J90" s="439"/>
      <c r="K90" s="439"/>
      <c r="L90" s="439"/>
      <c r="M90" s="439"/>
      <c r="N90" s="439"/>
      <c r="O90" s="439"/>
      <c r="P90" s="439"/>
      <c r="Q90" s="439"/>
      <c r="R90" s="439"/>
      <c r="S90" s="439"/>
    </row>
    <row r="91" spans="1:19" s="75" customFormat="1" ht="15" hidden="1">
      <c r="A91" s="438"/>
      <c r="B91" s="439"/>
      <c r="C91" s="439"/>
      <c r="D91" s="439"/>
      <c r="E91" s="439"/>
      <c r="F91" s="439"/>
      <c r="G91" s="439"/>
      <c r="H91" s="439"/>
      <c r="I91" s="439"/>
      <c r="J91" s="439"/>
      <c r="K91" s="439"/>
      <c r="L91" s="439"/>
      <c r="M91" s="439"/>
      <c r="N91" s="439"/>
      <c r="O91" s="439"/>
      <c r="P91" s="439"/>
      <c r="Q91" s="439"/>
      <c r="R91" s="439"/>
      <c r="S91" s="439"/>
    </row>
    <row r="92" spans="1:19" s="75" customFormat="1" ht="15" hidden="1">
      <c r="A92" s="438"/>
      <c r="B92" s="439"/>
      <c r="C92" s="439"/>
      <c r="D92" s="439"/>
      <c r="E92" s="439"/>
      <c r="F92" s="439"/>
      <c r="G92" s="439"/>
      <c r="H92" s="439"/>
      <c r="I92" s="439"/>
      <c r="J92" s="439"/>
      <c r="K92" s="439"/>
      <c r="L92" s="439"/>
      <c r="M92" s="439"/>
      <c r="N92" s="439"/>
      <c r="O92" s="439"/>
      <c r="P92" s="439"/>
      <c r="Q92" s="439"/>
      <c r="R92" s="439"/>
      <c r="S92" s="439"/>
    </row>
    <row r="93" spans="1:19" s="75" customFormat="1" ht="15" hidden="1">
      <c r="A93" s="438"/>
      <c r="B93" s="439"/>
      <c r="C93" s="439"/>
      <c r="D93" s="439"/>
      <c r="E93" s="439"/>
      <c r="F93" s="439"/>
      <c r="G93" s="439"/>
      <c r="H93" s="439"/>
      <c r="I93" s="439"/>
      <c r="J93" s="439"/>
      <c r="K93" s="439"/>
      <c r="L93" s="439"/>
      <c r="M93" s="439"/>
      <c r="N93" s="439"/>
      <c r="O93" s="439"/>
      <c r="P93" s="439"/>
      <c r="Q93" s="439"/>
      <c r="R93" s="439"/>
      <c r="S93" s="439"/>
    </row>
    <row r="94" spans="1:19" s="75" customFormat="1" ht="15" hidden="1">
      <c r="A94" s="438"/>
      <c r="B94" s="439"/>
      <c r="C94" s="439"/>
      <c r="D94" s="439"/>
      <c r="E94" s="439"/>
      <c r="F94" s="439"/>
      <c r="G94" s="439"/>
      <c r="H94" s="439"/>
      <c r="I94" s="439"/>
      <c r="J94" s="439"/>
      <c r="K94" s="439"/>
      <c r="L94" s="439"/>
      <c r="M94" s="439"/>
      <c r="N94" s="439"/>
      <c r="O94" s="439"/>
      <c r="P94" s="439"/>
      <c r="Q94" s="439"/>
      <c r="R94" s="439"/>
      <c r="S94" s="439"/>
    </row>
    <row r="95" spans="1:19" s="75" customFormat="1" ht="15" hidden="1">
      <c r="A95" s="438"/>
      <c r="B95" s="439"/>
      <c r="C95" s="439"/>
      <c r="D95" s="439"/>
      <c r="E95" s="439"/>
      <c r="F95" s="439"/>
      <c r="G95" s="439"/>
      <c r="H95" s="439"/>
      <c r="I95" s="439"/>
      <c r="J95" s="439"/>
      <c r="K95" s="439"/>
      <c r="L95" s="439"/>
      <c r="M95" s="439"/>
      <c r="N95" s="439"/>
      <c r="O95" s="439"/>
      <c r="P95" s="439"/>
      <c r="Q95" s="439"/>
      <c r="R95" s="439"/>
      <c r="S95" s="439"/>
    </row>
    <row r="96" spans="1:19" s="75" customFormat="1" ht="15" hidden="1">
      <c r="A96" s="438"/>
      <c r="B96" s="439"/>
      <c r="C96" s="439"/>
      <c r="D96" s="439"/>
      <c r="E96" s="439"/>
      <c r="F96" s="439"/>
      <c r="G96" s="439"/>
      <c r="H96" s="439"/>
      <c r="I96" s="439"/>
      <c r="J96" s="439"/>
      <c r="K96" s="439"/>
      <c r="L96" s="439"/>
      <c r="M96" s="439"/>
      <c r="N96" s="439"/>
      <c r="O96" s="439"/>
      <c r="P96" s="439"/>
      <c r="Q96" s="439"/>
      <c r="R96" s="439"/>
      <c r="S96" s="439"/>
    </row>
    <row r="97" spans="1:19" s="75" customFormat="1" ht="15" hidden="1">
      <c r="A97" s="438"/>
      <c r="B97" s="439"/>
      <c r="C97" s="439"/>
      <c r="D97" s="439"/>
      <c r="E97" s="439"/>
      <c r="F97" s="439"/>
      <c r="G97" s="439"/>
      <c r="H97" s="439"/>
      <c r="I97" s="439"/>
      <c r="J97" s="439"/>
      <c r="K97" s="439"/>
      <c r="L97" s="439"/>
      <c r="M97" s="439"/>
      <c r="N97" s="439"/>
      <c r="O97" s="439"/>
      <c r="P97" s="439"/>
      <c r="Q97" s="439"/>
      <c r="R97" s="439"/>
      <c r="S97" s="439"/>
    </row>
    <row r="98" spans="1:19" s="75" customFormat="1" ht="15" hidden="1">
      <c r="A98" s="438"/>
      <c r="B98" s="439"/>
      <c r="C98" s="439"/>
      <c r="D98" s="439"/>
      <c r="E98" s="439"/>
      <c r="F98" s="439"/>
      <c r="G98" s="439"/>
      <c r="H98" s="439"/>
      <c r="I98" s="439"/>
      <c r="J98" s="439"/>
      <c r="K98" s="439"/>
      <c r="L98" s="439"/>
      <c r="M98" s="439"/>
      <c r="N98" s="439"/>
      <c r="O98" s="439"/>
      <c r="P98" s="439"/>
      <c r="Q98" s="439"/>
      <c r="R98" s="439"/>
      <c r="S98" s="439"/>
    </row>
    <row r="99" spans="1:19" s="75" customFormat="1" ht="15" hidden="1">
      <c r="A99" s="438"/>
      <c r="B99" s="439"/>
      <c r="C99" s="439"/>
      <c r="D99" s="439"/>
      <c r="E99" s="439"/>
      <c r="F99" s="439"/>
      <c r="G99" s="439"/>
      <c r="H99" s="439"/>
      <c r="I99" s="439"/>
      <c r="J99" s="439"/>
      <c r="K99" s="439"/>
      <c r="L99" s="439"/>
      <c r="M99" s="439"/>
      <c r="N99" s="439"/>
      <c r="O99" s="439"/>
      <c r="P99" s="439"/>
      <c r="Q99" s="439"/>
      <c r="R99" s="439"/>
      <c r="S99" s="439"/>
    </row>
    <row r="100" spans="1:19" s="75" customFormat="1" ht="15" hidden="1">
      <c r="A100" s="438"/>
      <c r="B100" s="439"/>
      <c r="C100" s="439"/>
      <c r="D100" s="439"/>
      <c r="E100" s="439"/>
      <c r="F100" s="439"/>
      <c r="G100" s="439"/>
      <c r="H100" s="439"/>
      <c r="I100" s="439"/>
      <c r="J100" s="439"/>
      <c r="K100" s="439"/>
      <c r="L100" s="439"/>
      <c r="M100" s="439"/>
      <c r="N100" s="439"/>
      <c r="O100" s="439"/>
      <c r="P100" s="439"/>
      <c r="Q100" s="439"/>
      <c r="R100" s="439"/>
      <c r="S100" s="439"/>
    </row>
    <row r="101" spans="1:19" s="75" customFormat="1" ht="15" hidden="1">
      <c r="A101" s="438"/>
      <c r="B101" s="439"/>
      <c r="C101" s="439"/>
      <c r="D101" s="439"/>
      <c r="E101" s="439"/>
      <c r="F101" s="439"/>
      <c r="G101" s="439"/>
      <c r="H101" s="439"/>
      <c r="I101" s="439"/>
      <c r="J101" s="439"/>
      <c r="K101" s="439"/>
      <c r="L101" s="439"/>
      <c r="M101" s="439"/>
      <c r="N101" s="439"/>
      <c r="O101" s="439"/>
      <c r="P101" s="439"/>
      <c r="Q101" s="439"/>
      <c r="R101" s="439"/>
      <c r="S101" s="439"/>
    </row>
    <row r="102" spans="1:19" s="75" customFormat="1" ht="15" hidden="1">
      <c r="A102" s="438"/>
      <c r="B102" s="439"/>
      <c r="C102" s="439"/>
      <c r="D102" s="439"/>
      <c r="E102" s="439"/>
      <c r="F102" s="439"/>
      <c r="G102" s="439"/>
      <c r="H102" s="439"/>
      <c r="I102" s="439"/>
      <c r="J102" s="439"/>
      <c r="K102" s="439"/>
      <c r="L102" s="439"/>
      <c r="M102" s="439"/>
      <c r="N102" s="439"/>
      <c r="O102" s="439"/>
      <c r="P102" s="439"/>
      <c r="Q102" s="439"/>
      <c r="R102" s="439"/>
      <c r="S102" s="439"/>
    </row>
    <row r="103" spans="1:19" s="75" customFormat="1" ht="15" hidden="1">
      <c r="A103" s="438"/>
      <c r="B103" s="439"/>
      <c r="C103" s="439"/>
      <c r="D103" s="439"/>
      <c r="E103" s="439"/>
      <c r="F103" s="439"/>
      <c r="G103" s="439"/>
      <c r="H103" s="439"/>
      <c r="I103" s="439"/>
      <c r="J103" s="439"/>
      <c r="K103" s="439"/>
      <c r="L103" s="439"/>
      <c r="M103" s="439"/>
      <c r="N103" s="439"/>
      <c r="O103" s="439"/>
      <c r="P103" s="439"/>
      <c r="Q103" s="439"/>
      <c r="R103" s="439"/>
      <c r="S103" s="439"/>
    </row>
    <row r="104" spans="1:19" s="75" customFormat="1" ht="15" hidden="1">
      <c r="A104" s="438"/>
      <c r="B104" s="439"/>
      <c r="C104" s="439"/>
      <c r="D104" s="439"/>
      <c r="E104" s="439"/>
      <c r="F104" s="439"/>
      <c r="G104" s="439"/>
      <c r="H104" s="439"/>
      <c r="I104" s="439"/>
      <c r="J104" s="439"/>
      <c r="K104" s="439"/>
      <c r="L104" s="439"/>
      <c r="M104" s="439"/>
      <c r="N104" s="439"/>
      <c r="O104" s="439"/>
      <c r="P104" s="439"/>
      <c r="Q104" s="439"/>
      <c r="R104" s="439"/>
      <c r="S104" s="439"/>
    </row>
    <row r="105" spans="1:19" s="75" customFormat="1" ht="15" hidden="1">
      <c r="A105" s="438"/>
      <c r="B105" s="439"/>
      <c r="C105" s="439"/>
      <c r="D105" s="439"/>
      <c r="E105" s="439"/>
      <c r="F105" s="439"/>
      <c r="G105" s="439"/>
      <c r="H105" s="439"/>
      <c r="I105" s="439"/>
      <c r="J105" s="439"/>
      <c r="K105" s="439"/>
      <c r="L105" s="439"/>
      <c r="M105" s="439"/>
      <c r="N105" s="439"/>
      <c r="O105" s="439"/>
      <c r="P105" s="439"/>
      <c r="Q105" s="439"/>
      <c r="R105" s="439"/>
      <c r="S105" s="439"/>
    </row>
    <row r="106" spans="1:19" s="75" customFormat="1" ht="15" hidden="1">
      <c r="A106" s="438"/>
      <c r="B106" s="439"/>
      <c r="C106" s="439"/>
      <c r="D106" s="439"/>
      <c r="E106" s="439"/>
      <c r="F106" s="439"/>
      <c r="G106" s="439"/>
      <c r="H106" s="439"/>
      <c r="I106" s="439"/>
      <c r="J106" s="439"/>
      <c r="K106" s="439"/>
      <c r="L106" s="439"/>
      <c r="M106" s="439"/>
      <c r="N106" s="439"/>
      <c r="O106" s="439"/>
      <c r="P106" s="439"/>
      <c r="Q106" s="439"/>
      <c r="R106" s="439"/>
      <c r="S106" s="439"/>
    </row>
    <row r="107" spans="1:19" s="75" customFormat="1" ht="15" hidden="1">
      <c r="A107" s="438"/>
      <c r="B107" s="439"/>
      <c r="C107" s="439"/>
      <c r="D107" s="439"/>
      <c r="E107" s="439"/>
      <c r="F107" s="439"/>
      <c r="G107" s="439"/>
      <c r="H107" s="439"/>
      <c r="I107" s="439"/>
      <c r="J107" s="439"/>
      <c r="K107" s="439"/>
      <c r="L107" s="439"/>
      <c r="M107" s="439"/>
      <c r="N107" s="439"/>
      <c r="O107" s="439"/>
      <c r="P107" s="439"/>
      <c r="Q107" s="439"/>
      <c r="R107" s="439"/>
      <c r="S107" s="439"/>
    </row>
    <row r="108" spans="1:19" s="75" customFormat="1" ht="15" hidden="1">
      <c r="A108" s="438"/>
      <c r="B108" s="439"/>
      <c r="C108" s="439"/>
      <c r="D108" s="439"/>
      <c r="E108" s="439"/>
      <c r="F108" s="439"/>
      <c r="G108" s="439"/>
      <c r="H108" s="439"/>
      <c r="I108" s="439"/>
      <c r="J108" s="439"/>
      <c r="K108" s="439"/>
      <c r="L108" s="439"/>
      <c r="M108" s="439"/>
      <c r="N108" s="439"/>
      <c r="O108" s="439"/>
      <c r="P108" s="439"/>
      <c r="Q108" s="439"/>
      <c r="R108" s="439"/>
      <c r="S108" s="439"/>
    </row>
    <row r="109" spans="1:19" s="75" customFormat="1" ht="15" customHeight="1" hidden="1">
      <c r="A109" s="438"/>
      <c r="B109" s="439"/>
      <c r="C109" s="439"/>
      <c r="D109" s="439"/>
      <c r="E109" s="439"/>
      <c r="F109" s="439"/>
      <c r="G109" s="439"/>
      <c r="H109" s="439"/>
      <c r="I109" s="439"/>
      <c r="J109" s="439"/>
      <c r="K109" s="439"/>
      <c r="L109" s="439"/>
      <c r="M109" s="439"/>
      <c r="N109" s="439"/>
      <c r="O109" s="439"/>
      <c r="P109" s="439"/>
      <c r="Q109" s="439"/>
      <c r="R109" s="439"/>
      <c r="S109" s="439"/>
    </row>
    <row r="110" spans="1:19" s="75" customFormat="1" ht="15" customHeight="1" hidden="1">
      <c r="A110" s="438"/>
      <c r="B110" s="439"/>
      <c r="C110" s="439"/>
      <c r="D110" s="439"/>
      <c r="E110" s="439"/>
      <c r="F110" s="439"/>
      <c r="G110" s="439"/>
      <c r="H110" s="439"/>
      <c r="I110" s="439"/>
      <c r="J110" s="439"/>
      <c r="K110" s="439"/>
      <c r="L110" s="439"/>
      <c r="M110" s="439"/>
      <c r="N110" s="439"/>
      <c r="O110" s="439"/>
      <c r="P110" s="439"/>
      <c r="Q110" s="439"/>
      <c r="R110" s="439"/>
      <c r="S110" s="439"/>
    </row>
    <row r="111" spans="1:19" s="75" customFormat="1" ht="15" hidden="1">
      <c r="A111" s="438"/>
      <c r="B111" s="439"/>
      <c r="C111" s="439"/>
      <c r="D111" s="439"/>
      <c r="E111" s="439"/>
      <c r="F111" s="439"/>
      <c r="G111" s="439"/>
      <c r="H111" s="439"/>
      <c r="I111" s="439"/>
      <c r="J111" s="439"/>
      <c r="K111" s="439"/>
      <c r="L111" s="439"/>
      <c r="M111" s="439"/>
      <c r="N111" s="439"/>
      <c r="O111" s="439"/>
      <c r="P111" s="439"/>
      <c r="Q111" s="439"/>
      <c r="R111" s="439"/>
      <c r="S111" s="439"/>
    </row>
    <row r="112" spans="1:19" s="75" customFormat="1" ht="15" customHeight="1" hidden="1">
      <c r="A112" s="438"/>
      <c r="B112" s="439"/>
      <c r="C112" s="439"/>
      <c r="D112" s="439"/>
      <c r="E112" s="439"/>
      <c r="F112" s="439"/>
      <c r="G112" s="439"/>
      <c r="H112" s="439"/>
      <c r="I112" s="439"/>
      <c r="J112" s="439"/>
      <c r="K112" s="439"/>
      <c r="L112" s="439"/>
      <c r="M112" s="439"/>
      <c r="N112" s="439"/>
      <c r="O112" s="439"/>
      <c r="P112" s="439"/>
      <c r="Q112" s="439"/>
      <c r="R112" s="439"/>
      <c r="S112" s="439"/>
    </row>
    <row r="113" spans="1:19" s="75" customFormat="1" ht="15" hidden="1">
      <c r="A113" s="438"/>
      <c r="B113" s="439"/>
      <c r="C113" s="439"/>
      <c r="D113" s="439"/>
      <c r="E113" s="439"/>
      <c r="F113" s="439"/>
      <c r="G113" s="439"/>
      <c r="H113" s="439"/>
      <c r="I113" s="439"/>
      <c r="J113" s="439"/>
      <c r="K113" s="439"/>
      <c r="L113" s="439"/>
      <c r="M113" s="439"/>
      <c r="N113" s="439"/>
      <c r="O113" s="439"/>
      <c r="P113" s="439"/>
      <c r="Q113" s="439"/>
      <c r="R113" s="439"/>
      <c r="S113" s="439"/>
    </row>
    <row r="114" spans="1:19" s="75" customFormat="1" ht="15" hidden="1">
      <c r="A114" s="438"/>
      <c r="B114" s="439"/>
      <c r="C114" s="439"/>
      <c r="D114" s="439"/>
      <c r="E114" s="439"/>
      <c r="F114" s="439"/>
      <c r="G114" s="439"/>
      <c r="H114" s="439"/>
      <c r="I114" s="439"/>
      <c r="J114" s="439"/>
      <c r="K114" s="439"/>
      <c r="L114" s="439"/>
      <c r="M114" s="439"/>
      <c r="N114" s="439"/>
      <c r="O114" s="439"/>
      <c r="P114" s="439"/>
      <c r="Q114" s="439"/>
      <c r="R114" s="439"/>
      <c r="S114" s="439"/>
    </row>
    <row r="115" spans="1:19" s="75" customFormat="1" ht="15" hidden="1">
      <c r="A115" s="438"/>
      <c r="B115" s="439"/>
      <c r="C115" s="439"/>
      <c r="D115" s="439"/>
      <c r="E115" s="439"/>
      <c r="F115" s="439"/>
      <c r="G115" s="439"/>
      <c r="H115" s="439"/>
      <c r="I115" s="439"/>
      <c r="J115" s="439"/>
      <c r="K115" s="439"/>
      <c r="L115" s="439"/>
      <c r="M115" s="439"/>
      <c r="N115" s="439"/>
      <c r="O115" s="439"/>
      <c r="P115" s="439"/>
      <c r="Q115" s="439"/>
      <c r="R115" s="439"/>
      <c r="S115" s="439"/>
    </row>
    <row r="116" spans="1:19" s="75" customFormat="1" ht="15" hidden="1">
      <c r="A116" s="438"/>
      <c r="B116" s="439"/>
      <c r="C116" s="439"/>
      <c r="D116" s="439"/>
      <c r="E116" s="439"/>
      <c r="F116" s="439"/>
      <c r="G116" s="439"/>
      <c r="H116" s="439"/>
      <c r="I116" s="439"/>
      <c r="J116" s="439"/>
      <c r="K116" s="439"/>
      <c r="L116" s="439"/>
      <c r="M116" s="439"/>
      <c r="N116" s="439"/>
      <c r="O116" s="439"/>
      <c r="P116" s="439"/>
      <c r="Q116" s="439"/>
      <c r="R116" s="439"/>
      <c r="S116" s="439"/>
    </row>
    <row r="117" spans="1:19" s="75" customFormat="1" ht="15" hidden="1">
      <c r="A117" s="438"/>
      <c r="B117" s="439"/>
      <c r="C117" s="439"/>
      <c r="D117" s="439"/>
      <c r="E117" s="439"/>
      <c r="F117" s="439"/>
      <c r="G117" s="439"/>
      <c r="H117" s="439"/>
      <c r="I117" s="439"/>
      <c r="J117" s="439"/>
      <c r="K117" s="439"/>
      <c r="L117" s="439"/>
      <c r="M117" s="439"/>
      <c r="N117" s="439"/>
      <c r="O117" s="439"/>
      <c r="P117" s="439"/>
      <c r="Q117" s="439"/>
      <c r="R117" s="439"/>
      <c r="S117" s="439"/>
    </row>
    <row r="118" spans="1:19" s="75" customFormat="1" ht="15" customHeight="1" hidden="1">
      <c r="A118" s="438"/>
      <c r="B118" s="439"/>
      <c r="C118" s="439"/>
      <c r="D118" s="439"/>
      <c r="E118" s="439"/>
      <c r="F118" s="439"/>
      <c r="G118" s="439"/>
      <c r="H118" s="439"/>
      <c r="I118" s="439"/>
      <c r="J118" s="439"/>
      <c r="K118" s="439"/>
      <c r="L118" s="439"/>
      <c r="M118" s="439"/>
      <c r="N118" s="439"/>
      <c r="O118" s="439"/>
      <c r="P118" s="439"/>
      <c r="Q118" s="439"/>
      <c r="R118" s="439"/>
      <c r="S118" s="439"/>
    </row>
    <row r="119" spans="1:19" s="75" customFormat="1" ht="15" customHeight="1" hidden="1">
      <c r="A119" s="438"/>
      <c r="B119" s="439"/>
      <c r="C119" s="439"/>
      <c r="D119" s="439"/>
      <c r="E119" s="439"/>
      <c r="F119" s="439"/>
      <c r="G119" s="439"/>
      <c r="H119" s="439"/>
      <c r="I119" s="439"/>
      <c r="J119" s="439"/>
      <c r="K119" s="439"/>
      <c r="L119" s="439"/>
      <c r="M119" s="439"/>
      <c r="N119" s="439"/>
      <c r="O119" s="439"/>
      <c r="P119" s="439"/>
      <c r="Q119" s="439"/>
      <c r="R119" s="439"/>
      <c r="S119" s="439"/>
    </row>
    <row r="120" spans="1:19" s="75" customFormat="1" ht="14.25" customHeight="1" hidden="1">
      <c r="A120" s="438"/>
      <c r="B120" s="439"/>
      <c r="C120" s="439"/>
      <c r="D120" s="439"/>
      <c r="E120" s="439"/>
      <c r="F120" s="439"/>
      <c r="G120" s="439"/>
      <c r="H120" s="439"/>
      <c r="I120" s="439"/>
      <c r="J120" s="439"/>
      <c r="K120" s="439"/>
      <c r="L120" s="439"/>
      <c r="M120" s="439"/>
      <c r="N120" s="439"/>
      <c r="O120" s="439"/>
      <c r="P120" s="439"/>
      <c r="Q120" s="439"/>
      <c r="R120" s="439"/>
      <c r="S120" s="439"/>
    </row>
    <row r="121" spans="1:19" s="75" customFormat="1" ht="14.25" customHeight="1" hidden="1">
      <c r="A121" s="438"/>
      <c r="B121" s="439"/>
      <c r="C121" s="439"/>
      <c r="D121" s="439"/>
      <c r="E121" s="439"/>
      <c r="F121" s="439"/>
      <c r="G121" s="439"/>
      <c r="H121" s="439"/>
      <c r="I121" s="439"/>
      <c r="J121" s="439"/>
      <c r="K121" s="439"/>
      <c r="L121" s="439"/>
      <c r="M121" s="439"/>
      <c r="N121" s="439"/>
      <c r="O121" s="439"/>
      <c r="P121" s="439"/>
      <c r="Q121" s="439"/>
      <c r="R121" s="439"/>
      <c r="S121" s="439"/>
    </row>
    <row r="122" spans="1:19" s="75" customFormat="1" ht="14.25" customHeight="1" hidden="1">
      <c r="A122" s="438"/>
      <c r="B122" s="439"/>
      <c r="C122" s="439"/>
      <c r="D122" s="439"/>
      <c r="E122" s="439"/>
      <c r="F122" s="439"/>
      <c r="G122" s="439"/>
      <c r="H122" s="439"/>
      <c r="I122" s="439"/>
      <c r="J122" s="439"/>
      <c r="K122" s="439"/>
      <c r="L122" s="439"/>
      <c r="M122" s="439"/>
      <c r="N122" s="439"/>
      <c r="O122" s="439"/>
      <c r="P122" s="439"/>
      <c r="Q122" s="439"/>
      <c r="R122" s="439"/>
      <c r="S122" s="439"/>
    </row>
    <row r="123" spans="1:19" s="75" customFormat="1" ht="14.25" customHeight="1" hidden="1">
      <c r="A123" s="438"/>
      <c r="B123" s="439"/>
      <c r="C123" s="439"/>
      <c r="D123" s="439"/>
      <c r="E123" s="439"/>
      <c r="F123" s="439"/>
      <c r="G123" s="439"/>
      <c r="H123" s="439"/>
      <c r="I123" s="439"/>
      <c r="J123" s="439"/>
      <c r="K123" s="439"/>
      <c r="L123" s="439"/>
      <c r="M123" s="439"/>
      <c r="N123" s="439"/>
      <c r="O123" s="439"/>
      <c r="P123" s="439"/>
      <c r="Q123" s="439"/>
      <c r="R123" s="439"/>
      <c r="S123" s="439"/>
    </row>
    <row r="124" spans="1:19" s="75" customFormat="1" ht="15" customHeight="1" hidden="1">
      <c r="A124" s="438"/>
      <c r="B124" s="439"/>
      <c r="C124" s="439"/>
      <c r="D124" s="439"/>
      <c r="E124" s="439"/>
      <c r="F124" s="439"/>
      <c r="G124" s="439"/>
      <c r="H124" s="439"/>
      <c r="I124" s="439"/>
      <c r="J124" s="439"/>
      <c r="K124" s="439"/>
      <c r="L124" s="439"/>
      <c r="M124" s="439"/>
      <c r="N124" s="439"/>
      <c r="O124" s="439"/>
      <c r="P124" s="439"/>
      <c r="Q124" s="439"/>
      <c r="R124" s="439"/>
      <c r="S124" s="439"/>
    </row>
    <row r="125" spans="1:19" s="75" customFormat="1" ht="15" hidden="1">
      <c r="A125" s="438"/>
      <c r="B125" s="439"/>
      <c r="C125" s="439"/>
      <c r="D125" s="439"/>
      <c r="E125" s="439"/>
      <c r="F125" s="439"/>
      <c r="G125" s="439"/>
      <c r="H125" s="439"/>
      <c r="I125" s="439"/>
      <c r="J125" s="439"/>
      <c r="K125" s="439"/>
      <c r="L125" s="439"/>
      <c r="M125" s="439"/>
      <c r="N125" s="439"/>
      <c r="O125" s="439"/>
      <c r="P125" s="439"/>
      <c r="Q125" s="439"/>
      <c r="R125" s="439"/>
      <c r="S125" s="439"/>
    </row>
    <row r="126" spans="1:19" s="75" customFormat="1" ht="15" hidden="1">
      <c r="A126" s="438"/>
      <c r="B126" s="439"/>
      <c r="C126" s="439"/>
      <c r="D126" s="439"/>
      <c r="E126" s="439"/>
      <c r="F126" s="439"/>
      <c r="G126" s="439"/>
      <c r="H126" s="439"/>
      <c r="I126" s="439"/>
      <c r="J126" s="439"/>
      <c r="K126" s="439"/>
      <c r="L126" s="439"/>
      <c r="M126" s="439"/>
      <c r="N126" s="439"/>
      <c r="O126" s="439"/>
      <c r="P126" s="439"/>
      <c r="Q126" s="439"/>
      <c r="R126" s="439"/>
      <c r="S126" s="439"/>
    </row>
    <row r="127" spans="1:19" s="75" customFormat="1" ht="15" hidden="1">
      <c r="A127" s="438"/>
      <c r="B127" s="439"/>
      <c r="C127" s="439"/>
      <c r="D127" s="439"/>
      <c r="E127" s="439"/>
      <c r="F127" s="439"/>
      <c r="G127" s="439"/>
      <c r="H127" s="439"/>
      <c r="I127" s="439"/>
      <c r="J127" s="439"/>
      <c r="K127" s="439"/>
      <c r="L127" s="439"/>
      <c r="M127" s="439"/>
      <c r="N127" s="439"/>
      <c r="O127" s="439"/>
      <c r="P127" s="439"/>
      <c r="Q127" s="439"/>
      <c r="R127" s="439"/>
      <c r="S127" s="439"/>
    </row>
    <row r="128" spans="1:19" s="75" customFormat="1" ht="15" hidden="1">
      <c r="A128" s="438"/>
      <c r="B128" s="439"/>
      <c r="C128" s="439"/>
      <c r="D128" s="439"/>
      <c r="E128" s="439"/>
      <c r="F128" s="439"/>
      <c r="G128" s="439"/>
      <c r="H128" s="439"/>
      <c r="I128" s="439"/>
      <c r="J128" s="439"/>
      <c r="K128" s="439"/>
      <c r="L128" s="439"/>
      <c r="M128" s="439"/>
      <c r="N128" s="439"/>
      <c r="O128" s="439"/>
      <c r="P128" s="439"/>
      <c r="Q128" s="439"/>
      <c r="R128" s="439"/>
      <c r="S128" s="439"/>
    </row>
    <row r="129" spans="1:19" s="75" customFormat="1" ht="15" hidden="1">
      <c r="A129" s="438"/>
      <c r="B129" s="439"/>
      <c r="C129" s="439"/>
      <c r="D129" s="439"/>
      <c r="E129" s="439"/>
      <c r="F129" s="439"/>
      <c r="G129" s="439"/>
      <c r="H129" s="439"/>
      <c r="I129" s="439"/>
      <c r="J129" s="439"/>
      <c r="K129" s="439"/>
      <c r="L129" s="439"/>
      <c r="M129" s="439"/>
      <c r="N129" s="439"/>
      <c r="O129" s="439"/>
      <c r="P129" s="439"/>
      <c r="Q129" s="439"/>
      <c r="R129" s="439"/>
      <c r="S129" s="439"/>
    </row>
    <row r="130" spans="1:19" s="75" customFormat="1" ht="15" hidden="1">
      <c r="A130" s="438"/>
      <c r="B130" s="439"/>
      <c r="C130" s="439"/>
      <c r="D130" s="439"/>
      <c r="E130" s="439"/>
      <c r="F130" s="439"/>
      <c r="G130" s="439"/>
      <c r="H130" s="439"/>
      <c r="I130" s="439"/>
      <c r="J130" s="439"/>
      <c r="K130" s="439"/>
      <c r="L130" s="439"/>
      <c r="M130" s="439"/>
      <c r="N130" s="439"/>
      <c r="O130" s="439"/>
      <c r="P130" s="439"/>
      <c r="Q130" s="439"/>
      <c r="R130" s="439"/>
      <c r="S130" s="439"/>
    </row>
    <row r="131" spans="1:19" s="75" customFormat="1" ht="15" customHeight="1" hidden="1">
      <c r="A131" s="438"/>
      <c r="B131" s="439"/>
      <c r="C131" s="439"/>
      <c r="D131" s="439"/>
      <c r="E131" s="439"/>
      <c r="F131" s="439"/>
      <c r="G131" s="439"/>
      <c r="H131" s="439"/>
      <c r="I131" s="439"/>
      <c r="J131" s="439"/>
      <c r="K131" s="439"/>
      <c r="L131" s="439"/>
      <c r="M131" s="439"/>
      <c r="N131" s="439"/>
      <c r="O131" s="439"/>
      <c r="P131" s="439"/>
      <c r="Q131" s="439"/>
      <c r="R131" s="439"/>
      <c r="S131" s="439"/>
    </row>
    <row r="132" spans="1:19" s="75" customFormat="1" ht="15" customHeight="1" hidden="1">
      <c r="A132" s="438"/>
      <c r="B132" s="439"/>
      <c r="C132" s="439"/>
      <c r="D132" s="439"/>
      <c r="E132" s="439"/>
      <c r="F132" s="439"/>
      <c r="G132" s="439"/>
      <c r="H132" s="439"/>
      <c r="I132" s="439"/>
      <c r="J132" s="439"/>
      <c r="K132" s="439"/>
      <c r="L132" s="439"/>
      <c r="M132" s="439"/>
      <c r="N132" s="439"/>
      <c r="O132" s="439"/>
      <c r="P132" s="439"/>
      <c r="Q132" s="439"/>
      <c r="R132" s="439"/>
      <c r="S132" s="439"/>
    </row>
    <row r="133" spans="1:19" s="75" customFormat="1" ht="15" hidden="1">
      <c r="A133" s="438"/>
      <c r="B133" s="439"/>
      <c r="C133" s="439"/>
      <c r="D133" s="439"/>
      <c r="E133" s="439"/>
      <c r="F133" s="439"/>
      <c r="G133" s="439"/>
      <c r="H133" s="439"/>
      <c r="I133" s="439"/>
      <c r="J133" s="439"/>
      <c r="K133" s="439"/>
      <c r="L133" s="439"/>
      <c r="M133" s="439"/>
      <c r="N133" s="439"/>
      <c r="O133" s="439"/>
      <c r="P133" s="439"/>
      <c r="Q133" s="439"/>
      <c r="R133" s="439"/>
      <c r="S133" s="439"/>
    </row>
    <row r="134" spans="1:19" s="75" customFormat="1" ht="15" hidden="1">
      <c r="A134" s="438"/>
      <c r="B134" s="439"/>
      <c r="C134" s="439"/>
      <c r="D134" s="439"/>
      <c r="E134" s="439"/>
      <c r="F134" s="439"/>
      <c r="G134" s="439"/>
      <c r="H134" s="439"/>
      <c r="I134" s="439"/>
      <c r="J134" s="439"/>
      <c r="K134" s="439"/>
      <c r="L134" s="439"/>
      <c r="M134" s="439"/>
      <c r="N134" s="439"/>
      <c r="O134" s="439"/>
      <c r="P134" s="439"/>
      <c r="Q134" s="439"/>
      <c r="R134" s="439"/>
      <c r="S134" s="439"/>
    </row>
    <row r="135" spans="1:19" s="75" customFormat="1" ht="15" hidden="1">
      <c r="A135" s="438"/>
      <c r="B135" s="439"/>
      <c r="C135" s="439"/>
      <c r="D135" s="439"/>
      <c r="E135" s="439"/>
      <c r="F135" s="439"/>
      <c r="G135" s="439"/>
      <c r="H135" s="439"/>
      <c r="I135" s="439"/>
      <c r="J135" s="439"/>
      <c r="K135" s="439"/>
      <c r="L135" s="439"/>
      <c r="M135" s="439"/>
      <c r="N135" s="439"/>
      <c r="O135" s="439"/>
      <c r="P135" s="439"/>
      <c r="Q135" s="439"/>
      <c r="R135" s="439"/>
      <c r="S135" s="439"/>
    </row>
    <row r="136" spans="1:19" s="75" customFormat="1" ht="15" hidden="1">
      <c r="A136" s="438"/>
      <c r="B136" s="439"/>
      <c r="C136" s="439"/>
      <c r="D136" s="439"/>
      <c r="E136" s="439"/>
      <c r="F136" s="439"/>
      <c r="G136" s="439"/>
      <c r="H136" s="439"/>
      <c r="I136" s="439"/>
      <c r="J136" s="439"/>
      <c r="K136" s="439"/>
      <c r="L136" s="439"/>
      <c r="M136" s="439"/>
      <c r="N136" s="439"/>
      <c r="O136" s="439"/>
      <c r="P136" s="439"/>
      <c r="Q136" s="439"/>
      <c r="R136" s="439"/>
      <c r="S136" s="439"/>
    </row>
    <row r="137" spans="1:19" s="75" customFormat="1" ht="15" hidden="1">
      <c r="A137" s="438"/>
      <c r="B137" s="439"/>
      <c r="C137" s="439"/>
      <c r="D137" s="439"/>
      <c r="E137" s="439"/>
      <c r="F137" s="439"/>
      <c r="G137" s="439"/>
      <c r="H137" s="439"/>
      <c r="I137" s="439"/>
      <c r="J137" s="439"/>
      <c r="K137" s="439"/>
      <c r="L137" s="439"/>
      <c r="M137" s="439"/>
      <c r="N137" s="439"/>
      <c r="O137" s="439"/>
      <c r="P137" s="439"/>
      <c r="Q137" s="439"/>
      <c r="R137" s="439"/>
      <c r="S137" s="439"/>
    </row>
    <row r="138" spans="1:19" s="75" customFormat="1" ht="15" hidden="1">
      <c r="A138" s="438"/>
      <c r="B138" s="439"/>
      <c r="C138" s="439"/>
      <c r="D138" s="439"/>
      <c r="E138" s="439"/>
      <c r="F138" s="439"/>
      <c r="G138" s="439"/>
      <c r="H138" s="439"/>
      <c r="I138" s="439"/>
      <c r="J138" s="439"/>
      <c r="K138" s="439"/>
      <c r="L138" s="439"/>
      <c r="M138" s="439"/>
      <c r="N138" s="439"/>
      <c r="O138" s="439"/>
      <c r="P138" s="439"/>
      <c r="Q138" s="439"/>
      <c r="R138" s="439"/>
      <c r="S138" s="439"/>
    </row>
    <row r="139" spans="1:19" s="75" customFormat="1" ht="15" hidden="1">
      <c r="A139" s="438"/>
      <c r="B139" s="439"/>
      <c r="C139" s="439"/>
      <c r="D139" s="439"/>
      <c r="E139" s="439"/>
      <c r="F139" s="439"/>
      <c r="G139" s="439"/>
      <c r="H139" s="439"/>
      <c r="I139" s="439"/>
      <c r="J139" s="439"/>
      <c r="K139" s="439"/>
      <c r="L139" s="439"/>
      <c r="M139" s="439"/>
      <c r="N139" s="439"/>
      <c r="O139" s="439"/>
      <c r="P139" s="439"/>
      <c r="Q139" s="439"/>
      <c r="R139" s="439"/>
      <c r="S139" s="439"/>
    </row>
    <row r="140" spans="1:19" s="75" customFormat="1" ht="15" hidden="1">
      <c r="A140" s="438"/>
      <c r="B140" s="439"/>
      <c r="C140" s="439"/>
      <c r="D140" s="439"/>
      <c r="E140" s="439"/>
      <c r="F140" s="439"/>
      <c r="G140" s="439"/>
      <c r="H140" s="439"/>
      <c r="I140" s="439"/>
      <c r="J140" s="439"/>
      <c r="K140" s="439"/>
      <c r="L140" s="439"/>
      <c r="M140" s="439"/>
      <c r="N140" s="439"/>
      <c r="O140" s="439"/>
      <c r="P140" s="439"/>
      <c r="Q140" s="439"/>
      <c r="R140" s="439"/>
      <c r="S140" s="439"/>
    </row>
    <row r="141" spans="1:19" s="75" customFormat="1" ht="15" hidden="1">
      <c r="A141" s="438"/>
      <c r="B141" s="439"/>
      <c r="C141" s="439"/>
      <c r="D141" s="439"/>
      <c r="E141" s="439"/>
      <c r="F141" s="439"/>
      <c r="G141" s="439"/>
      <c r="H141" s="439"/>
      <c r="I141" s="439"/>
      <c r="J141" s="439"/>
      <c r="K141" s="439"/>
      <c r="L141" s="439"/>
      <c r="M141" s="439"/>
      <c r="N141" s="439"/>
      <c r="O141" s="439"/>
      <c r="P141" s="439"/>
      <c r="Q141" s="439"/>
      <c r="R141" s="439"/>
      <c r="S141" s="439"/>
    </row>
    <row r="142" spans="1:19" s="75" customFormat="1" ht="15" hidden="1">
      <c r="A142" s="438"/>
      <c r="B142" s="439"/>
      <c r="C142" s="439"/>
      <c r="D142" s="439"/>
      <c r="E142" s="439"/>
      <c r="F142" s="439"/>
      <c r="G142" s="439"/>
      <c r="H142" s="439"/>
      <c r="I142" s="439"/>
      <c r="J142" s="439"/>
      <c r="K142" s="439"/>
      <c r="L142" s="439"/>
      <c r="M142" s="439"/>
      <c r="N142" s="439"/>
      <c r="O142" s="439"/>
      <c r="P142" s="439"/>
      <c r="Q142" s="439"/>
      <c r="R142" s="439"/>
      <c r="S142" s="439"/>
    </row>
    <row r="143" spans="1:19" s="75" customFormat="1" ht="15" hidden="1">
      <c r="A143" s="438"/>
      <c r="B143" s="439"/>
      <c r="C143" s="439"/>
      <c r="D143" s="439"/>
      <c r="E143" s="439"/>
      <c r="F143" s="439"/>
      <c r="G143" s="439"/>
      <c r="H143" s="439"/>
      <c r="I143" s="439"/>
      <c r="J143" s="439"/>
      <c r="K143" s="439"/>
      <c r="L143" s="439"/>
      <c r="M143" s="439"/>
      <c r="N143" s="439"/>
      <c r="O143" s="439"/>
      <c r="P143" s="439"/>
      <c r="Q143" s="439"/>
      <c r="R143" s="439"/>
      <c r="S143" s="439"/>
    </row>
    <row r="144" spans="1:19" s="75" customFormat="1" ht="15" hidden="1">
      <c r="A144" s="438"/>
      <c r="B144" s="439"/>
      <c r="C144" s="439"/>
      <c r="D144" s="439"/>
      <c r="E144" s="439"/>
      <c r="F144" s="439"/>
      <c r="G144" s="439"/>
      <c r="H144" s="439"/>
      <c r="I144" s="439"/>
      <c r="J144" s="439"/>
      <c r="K144" s="439"/>
      <c r="L144" s="439"/>
      <c r="M144" s="439"/>
      <c r="N144" s="439"/>
      <c r="O144" s="439"/>
      <c r="P144" s="439"/>
      <c r="Q144" s="439"/>
      <c r="R144" s="439"/>
      <c r="S144" s="439"/>
    </row>
    <row r="145" spans="1:19" s="75" customFormat="1" ht="15" hidden="1">
      <c r="A145" s="438"/>
      <c r="B145" s="439"/>
      <c r="C145" s="439"/>
      <c r="D145" s="439"/>
      <c r="E145" s="439"/>
      <c r="F145" s="439"/>
      <c r="G145" s="439"/>
      <c r="H145" s="439"/>
      <c r="I145" s="439"/>
      <c r="J145" s="439"/>
      <c r="K145" s="439"/>
      <c r="L145" s="439"/>
      <c r="M145" s="439"/>
      <c r="N145" s="439"/>
      <c r="O145" s="439"/>
      <c r="P145" s="439"/>
      <c r="Q145" s="439"/>
      <c r="R145" s="439"/>
      <c r="S145" s="439"/>
    </row>
    <row r="146" spans="1:19" s="75" customFormat="1" ht="15" hidden="1">
      <c r="A146" s="438"/>
      <c r="B146" s="439"/>
      <c r="C146" s="439"/>
      <c r="D146" s="439"/>
      <c r="E146" s="439"/>
      <c r="F146" s="439"/>
      <c r="G146" s="439"/>
      <c r="H146" s="439"/>
      <c r="I146" s="439"/>
      <c r="J146" s="439"/>
      <c r="K146" s="439"/>
      <c r="L146" s="439"/>
      <c r="M146" s="439"/>
      <c r="N146" s="439"/>
      <c r="O146" s="439"/>
      <c r="P146" s="439"/>
      <c r="Q146" s="439"/>
      <c r="R146" s="439"/>
      <c r="S146" s="439"/>
    </row>
    <row r="147" spans="1:19" s="75" customFormat="1" ht="15" hidden="1">
      <c r="A147" s="438"/>
      <c r="B147" s="439"/>
      <c r="C147" s="439"/>
      <c r="D147" s="439"/>
      <c r="E147" s="439"/>
      <c r="F147" s="439"/>
      <c r="G147" s="439"/>
      <c r="H147" s="439"/>
      <c r="I147" s="439"/>
      <c r="J147" s="439"/>
      <c r="K147" s="439"/>
      <c r="L147" s="439"/>
      <c r="M147" s="439"/>
      <c r="N147" s="439"/>
      <c r="O147" s="439"/>
      <c r="P147" s="439"/>
      <c r="Q147" s="439"/>
      <c r="R147" s="439"/>
      <c r="S147" s="439"/>
    </row>
    <row r="148" spans="1:19" s="75" customFormat="1" ht="15" hidden="1">
      <c r="A148" s="438"/>
      <c r="B148" s="439"/>
      <c r="C148" s="439"/>
      <c r="D148" s="439"/>
      <c r="E148" s="439"/>
      <c r="F148" s="439"/>
      <c r="G148" s="439"/>
      <c r="H148" s="439"/>
      <c r="I148" s="439"/>
      <c r="J148" s="439"/>
      <c r="K148" s="439"/>
      <c r="L148" s="439"/>
      <c r="M148" s="439"/>
      <c r="N148" s="439"/>
      <c r="O148" s="439"/>
      <c r="P148" s="439"/>
      <c r="Q148" s="439"/>
      <c r="R148" s="439"/>
      <c r="S148" s="439"/>
    </row>
    <row r="149" spans="1:19" s="75" customFormat="1" ht="15" customHeight="1" hidden="1">
      <c r="A149" s="438"/>
      <c r="B149" s="439"/>
      <c r="C149" s="439"/>
      <c r="D149" s="439"/>
      <c r="E149" s="439"/>
      <c r="F149" s="439"/>
      <c r="G149" s="439"/>
      <c r="H149" s="439"/>
      <c r="I149" s="439"/>
      <c r="J149" s="439"/>
      <c r="K149" s="439"/>
      <c r="L149" s="439"/>
      <c r="M149" s="439"/>
      <c r="N149" s="439"/>
      <c r="O149" s="439"/>
      <c r="P149" s="439"/>
      <c r="Q149" s="439"/>
      <c r="R149" s="439"/>
      <c r="S149" s="439"/>
    </row>
    <row r="150" spans="1:19" s="75" customFormat="1" ht="15" customHeight="1" hidden="1">
      <c r="A150" s="438"/>
      <c r="B150" s="439"/>
      <c r="C150" s="439"/>
      <c r="D150" s="439"/>
      <c r="E150" s="439"/>
      <c r="F150" s="439"/>
      <c r="G150" s="439"/>
      <c r="H150" s="439"/>
      <c r="I150" s="439"/>
      <c r="J150" s="439"/>
      <c r="K150" s="439"/>
      <c r="L150" s="439"/>
      <c r="M150" s="439"/>
      <c r="N150" s="439"/>
      <c r="O150" s="439"/>
      <c r="P150" s="439"/>
      <c r="Q150" s="439"/>
      <c r="R150" s="439"/>
      <c r="S150" s="439"/>
    </row>
    <row r="151" spans="1:19" s="75" customFormat="1" ht="15" customHeight="1" hidden="1">
      <c r="A151" s="438"/>
      <c r="B151" s="439"/>
      <c r="C151" s="439"/>
      <c r="D151" s="439"/>
      <c r="E151" s="439"/>
      <c r="F151" s="439"/>
      <c r="G151" s="439"/>
      <c r="H151" s="439"/>
      <c r="I151" s="439"/>
      <c r="J151" s="439"/>
      <c r="K151" s="439"/>
      <c r="L151" s="439"/>
      <c r="M151" s="439"/>
      <c r="N151" s="439"/>
      <c r="O151" s="439"/>
      <c r="P151" s="439"/>
      <c r="Q151" s="439"/>
      <c r="R151" s="439"/>
      <c r="S151" s="439"/>
    </row>
    <row r="152" spans="1:19" s="75" customFormat="1" ht="15" customHeight="1" hidden="1">
      <c r="A152" s="438"/>
      <c r="B152" s="439"/>
      <c r="C152" s="439"/>
      <c r="D152" s="439"/>
      <c r="E152" s="439"/>
      <c r="F152" s="439"/>
      <c r="G152" s="439"/>
      <c r="H152" s="439"/>
      <c r="I152" s="439"/>
      <c r="J152" s="439"/>
      <c r="K152" s="439"/>
      <c r="L152" s="439"/>
      <c r="M152" s="439"/>
      <c r="N152" s="439"/>
      <c r="O152" s="439"/>
      <c r="P152" s="439"/>
      <c r="Q152" s="439"/>
      <c r="R152" s="439"/>
      <c r="S152" s="439"/>
    </row>
    <row r="153" spans="1:19" s="75" customFormat="1" ht="15" customHeight="1" hidden="1">
      <c r="A153" s="438"/>
      <c r="B153" s="439"/>
      <c r="C153" s="439"/>
      <c r="D153" s="439"/>
      <c r="E153" s="439"/>
      <c r="F153" s="439"/>
      <c r="G153" s="439"/>
      <c r="H153" s="439"/>
      <c r="I153" s="439"/>
      <c r="J153" s="439"/>
      <c r="K153" s="439"/>
      <c r="L153" s="439"/>
      <c r="M153" s="439"/>
      <c r="N153" s="439"/>
      <c r="O153" s="439"/>
      <c r="P153" s="439"/>
      <c r="Q153" s="439"/>
      <c r="R153" s="439"/>
      <c r="S153" s="439"/>
    </row>
    <row r="154" spans="1:19" s="75" customFormat="1" ht="15" hidden="1">
      <c r="A154" s="438"/>
      <c r="B154" s="439"/>
      <c r="C154" s="439"/>
      <c r="D154" s="439"/>
      <c r="E154" s="439"/>
      <c r="F154" s="439"/>
      <c r="G154" s="439"/>
      <c r="H154" s="439"/>
      <c r="I154" s="439"/>
      <c r="J154" s="439"/>
      <c r="K154" s="439"/>
      <c r="L154" s="439"/>
      <c r="M154" s="439"/>
      <c r="N154" s="439"/>
      <c r="O154" s="439"/>
      <c r="P154" s="439"/>
      <c r="Q154" s="439"/>
      <c r="R154" s="439"/>
      <c r="S154" s="439"/>
    </row>
    <row r="155" spans="1:19" s="75" customFormat="1" ht="15" hidden="1">
      <c r="A155" s="438"/>
      <c r="B155" s="439"/>
      <c r="C155" s="439"/>
      <c r="D155" s="439"/>
      <c r="E155" s="439"/>
      <c r="F155" s="439"/>
      <c r="G155" s="439"/>
      <c r="H155" s="439"/>
      <c r="I155" s="439"/>
      <c r="J155" s="439"/>
      <c r="K155" s="439"/>
      <c r="L155" s="439"/>
      <c r="M155" s="439"/>
      <c r="N155" s="439"/>
      <c r="O155" s="439"/>
      <c r="P155" s="439"/>
      <c r="Q155" s="439"/>
      <c r="R155" s="439"/>
      <c r="S155" s="439"/>
    </row>
    <row r="156" spans="1:19" s="75" customFormat="1" ht="15" hidden="1">
      <c r="A156" s="438"/>
      <c r="B156" s="439"/>
      <c r="C156" s="439"/>
      <c r="D156" s="439"/>
      <c r="E156" s="439"/>
      <c r="F156" s="439"/>
      <c r="G156" s="439"/>
      <c r="H156" s="439"/>
      <c r="I156" s="439"/>
      <c r="J156" s="439"/>
      <c r="K156" s="439"/>
      <c r="L156" s="439"/>
      <c r="M156" s="439"/>
      <c r="N156" s="439"/>
      <c r="O156" s="439"/>
      <c r="P156" s="439"/>
      <c r="Q156" s="439"/>
      <c r="R156" s="439"/>
      <c r="S156" s="439"/>
    </row>
    <row r="157" spans="1:19" s="75" customFormat="1" ht="15" customHeight="1" hidden="1">
      <c r="A157" s="438"/>
      <c r="B157" s="439"/>
      <c r="C157" s="439"/>
      <c r="D157" s="439"/>
      <c r="E157" s="439"/>
      <c r="F157" s="439"/>
      <c r="G157" s="439"/>
      <c r="H157" s="439"/>
      <c r="I157" s="439"/>
      <c r="J157" s="439"/>
      <c r="K157" s="439"/>
      <c r="L157" s="439"/>
      <c r="M157" s="439"/>
      <c r="N157" s="439"/>
      <c r="O157" s="439"/>
      <c r="P157" s="439"/>
      <c r="Q157" s="439"/>
      <c r="R157" s="439"/>
      <c r="S157" s="439"/>
    </row>
    <row r="158" spans="1:19" s="75" customFormat="1" ht="15" customHeight="1" hidden="1">
      <c r="A158" s="438"/>
      <c r="B158" s="439"/>
      <c r="C158" s="439"/>
      <c r="D158" s="439"/>
      <c r="E158" s="439"/>
      <c r="F158" s="439"/>
      <c r="G158" s="439"/>
      <c r="H158" s="439"/>
      <c r="I158" s="439"/>
      <c r="J158" s="439"/>
      <c r="K158" s="439"/>
      <c r="L158" s="439"/>
      <c r="M158" s="439"/>
      <c r="N158" s="439"/>
      <c r="O158" s="439"/>
      <c r="P158" s="439"/>
      <c r="Q158" s="439"/>
      <c r="R158" s="439"/>
      <c r="S158" s="439"/>
    </row>
    <row r="159" spans="1:19" s="75" customFormat="1" ht="15" customHeight="1" hidden="1">
      <c r="A159" s="438"/>
      <c r="B159" s="439"/>
      <c r="C159" s="439"/>
      <c r="D159" s="439"/>
      <c r="E159" s="439"/>
      <c r="F159" s="439"/>
      <c r="G159" s="439"/>
      <c r="H159" s="439"/>
      <c r="I159" s="439"/>
      <c r="J159" s="439"/>
      <c r="K159" s="439"/>
      <c r="L159" s="439"/>
      <c r="M159" s="439"/>
      <c r="N159" s="439"/>
      <c r="O159" s="439"/>
      <c r="P159" s="439"/>
      <c r="Q159" s="439"/>
      <c r="R159" s="439"/>
      <c r="S159" s="439"/>
    </row>
    <row r="160" spans="1:19" s="75" customFormat="1" ht="15" hidden="1">
      <c r="A160" s="438"/>
      <c r="B160" s="439"/>
      <c r="C160" s="439"/>
      <c r="D160" s="439"/>
      <c r="E160" s="439"/>
      <c r="F160" s="439"/>
      <c r="G160" s="439"/>
      <c r="H160" s="439"/>
      <c r="I160" s="439"/>
      <c r="J160" s="439"/>
      <c r="K160" s="439"/>
      <c r="L160" s="439"/>
      <c r="M160" s="439"/>
      <c r="N160" s="439"/>
      <c r="O160" s="439"/>
      <c r="P160" s="439"/>
      <c r="Q160" s="439"/>
      <c r="R160" s="439"/>
      <c r="S160" s="439"/>
    </row>
    <row r="161" spans="1:19" s="75" customFormat="1" ht="15" hidden="1">
      <c r="A161" s="438"/>
      <c r="B161" s="439"/>
      <c r="C161" s="439"/>
      <c r="D161" s="439"/>
      <c r="E161" s="439"/>
      <c r="F161" s="439"/>
      <c r="G161" s="439"/>
      <c r="H161" s="439"/>
      <c r="I161" s="439"/>
      <c r="J161" s="439"/>
      <c r="K161" s="439"/>
      <c r="L161" s="439"/>
      <c r="M161" s="439"/>
      <c r="N161" s="439"/>
      <c r="O161" s="439"/>
      <c r="P161" s="439"/>
      <c r="Q161" s="439"/>
      <c r="R161" s="439"/>
      <c r="S161" s="439"/>
    </row>
    <row r="162" spans="1:19" s="75" customFormat="1" ht="15" hidden="1">
      <c r="A162" s="438"/>
      <c r="B162" s="439"/>
      <c r="C162" s="439"/>
      <c r="D162" s="439"/>
      <c r="E162" s="439"/>
      <c r="F162" s="439"/>
      <c r="G162" s="439"/>
      <c r="H162" s="439"/>
      <c r="I162" s="439"/>
      <c r="J162" s="439"/>
      <c r="K162" s="439"/>
      <c r="L162" s="439"/>
      <c r="M162" s="439"/>
      <c r="N162" s="439"/>
      <c r="O162" s="439"/>
      <c r="P162" s="439"/>
      <c r="Q162" s="439"/>
      <c r="R162" s="439"/>
      <c r="S162" s="439"/>
    </row>
    <row r="163" spans="1:19" s="75" customFormat="1" ht="15" customHeight="1" hidden="1">
      <c r="A163" s="438"/>
      <c r="B163" s="439"/>
      <c r="C163" s="439"/>
      <c r="D163" s="439"/>
      <c r="E163" s="439"/>
      <c r="F163" s="439"/>
      <c r="G163" s="439"/>
      <c r="H163" s="439"/>
      <c r="I163" s="439"/>
      <c r="J163" s="439"/>
      <c r="K163" s="439"/>
      <c r="L163" s="439"/>
      <c r="M163" s="439"/>
      <c r="N163" s="439"/>
      <c r="O163" s="439"/>
      <c r="P163" s="439"/>
      <c r="Q163" s="439"/>
      <c r="R163" s="439"/>
      <c r="S163" s="439"/>
    </row>
    <row r="164" spans="1:19" s="75" customFormat="1" ht="15" customHeight="1" hidden="1">
      <c r="A164" s="438"/>
      <c r="B164" s="439"/>
      <c r="C164" s="439"/>
      <c r="D164" s="439"/>
      <c r="E164" s="439"/>
      <c r="F164" s="439"/>
      <c r="G164" s="439"/>
      <c r="H164" s="439"/>
      <c r="I164" s="439"/>
      <c r="J164" s="439"/>
      <c r="K164" s="439"/>
      <c r="L164" s="439"/>
      <c r="M164" s="439"/>
      <c r="N164" s="439"/>
      <c r="O164" s="439"/>
      <c r="P164" s="439"/>
      <c r="Q164" s="439"/>
      <c r="R164" s="439"/>
      <c r="S164" s="439"/>
    </row>
    <row r="165" spans="1:19" s="75" customFormat="1" ht="15" customHeight="1" hidden="1">
      <c r="A165" s="438"/>
      <c r="B165" s="439"/>
      <c r="C165" s="439"/>
      <c r="D165" s="439"/>
      <c r="E165" s="439"/>
      <c r="F165" s="439"/>
      <c r="G165" s="439"/>
      <c r="H165" s="439"/>
      <c r="I165" s="439"/>
      <c r="J165" s="439"/>
      <c r="K165" s="439"/>
      <c r="L165" s="439"/>
      <c r="M165" s="439"/>
      <c r="N165" s="439"/>
      <c r="O165" s="439"/>
      <c r="P165" s="439"/>
      <c r="Q165" s="439"/>
      <c r="R165" s="439"/>
      <c r="S165" s="439"/>
    </row>
    <row r="166" spans="1:19" s="75" customFormat="1" ht="15" hidden="1">
      <c r="A166" s="438"/>
      <c r="B166" s="439"/>
      <c r="C166" s="439"/>
      <c r="D166" s="439"/>
      <c r="E166" s="439"/>
      <c r="F166" s="439"/>
      <c r="G166" s="439"/>
      <c r="H166" s="439"/>
      <c r="I166" s="439"/>
      <c r="J166" s="439"/>
      <c r="K166" s="439"/>
      <c r="L166" s="439"/>
      <c r="M166" s="439"/>
      <c r="N166" s="439"/>
      <c r="O166" s="439"/>
      <c r="P166" s="439"/>
      <c r="Q166" s="439"/>
      <c r="R166" s="439"/>
      <c r="S166" s="439"/>
    </row>
    <row r="167" spans="1:19" s="75" customFormat="1" ht="15" hidden="1">
      <c r="A167" s="438"/>
      <c r="B167" s="439"/>
      <c r="C167" s="439"/>
      <c r="D167" s="439"/>
      <c r="E167" s="439"/>
      <c r="F167" s="439"/>
      <c r="G167" s="439"/>
      <c r="H167" s="439"/>
      <c r="I167" s="439"/>
      <c r="J167" s="439"/>
      <c r="K167" s="439"/>
      <c r="L167" s="439"/>
      <c r="M167" s="439"/>
      <c r="N167" s="439"/>
      <c r="O167" s="439"/>
      <c r="P167" s="439"/>
      <c r="Q167" s="439"/>
      <c r="R167" s="439"/>
      <c r="S167" s="439"/>
    </row>
    <row r="168" spans="1:19" s="75" customFormat="1" ht="15" hidden="1">
      <c r="A168" s="438"/>
      <c r="B168" s="439"/>
      <c r="C168" s="439"/>
      <c r="D168" s="439"/>
      <c r="E168" s="439"/>
      <c r="F168" s="439"/>
      <c r="G168" s="439"/>
      <c r="H168" s="439"/>
      <c r="I168" s="439"/>
      <c r="J168" s="439"/>
      <c r="K168" s="439"/>
      <c r="L168" s="439"/>
      <c r="M168" s="439"/>
      <c r="N168" s="439"/>
      <c r="O168" s="439"/>
      <c r="P168" s="439"/>
      <c r="Q168" s="439"/>
      <c r="R168" s="439"/>
      <c r="S168" s="439"/>
    </row>
    <row r="169" spans="1:19" s="75" customFormat="1" ht="15" hidden="1">
      <c r="A169" s="438"/>
      <c r="B169" s="439"/>
      <c r="C169" s="439"/>
      <c r="D169" s="439"/>
      <c r="E169" s="439"/>
      <c r="F169" s="439"/>
      <c r="G169" s="439"/>
      <c r="H169" s="439"/>
      <c r="I169" s="439"/>
      <c r="J169" s="439"/>
      <c r="K169" s="439"/>
      <c r="L169" s="439"/>
      <c r="M169" s="439"/>
      <c r="N169" s="439"/>
      <c r="O169" s="439"/>
      <c r="P169" s="439"/>
      <c r="Q169" s="439"/>
      <c r="R169" s="439"/>
      <c r="S169" s="439"/>
    </row>
    <row r="170" spans="1:19" s="75" customFormat="1" ht="15" customHeight="1" hidden="1">
      <c r="A170" s="438"/>
      <c r="B170" s="439"/>
      <c r="C170" s="439"/>
      <c r="D170" s="439"/>
      <c r="E170" s="439"/>
      <c r="F170" s="439"/>
      <c r="G170" s="439"/>
      <c r="H170" s="439"/>
      <c r="I170" s="439"/>
      <c r="J170" s="439"/>
      <c r="K170" s="439"/>
      <c r="L170" s="439"/>
      <c r="M170" s="439"/>
      <c r="N170" s="439"/>
      <c r="O170" s="439"/>
      <c r="P170" s="439"/>
      <c r="Q170" s="439"/>
      <c r="R170" s="439"/>
      <c r="S170" s="439"/>
    </row>
    <row r="171" spans="1:19" s="75" customFormat="1" ht="15" hidden="1">
      <c r="A171" s="438"/>
      <c r="B171" s="439"/>
      <c r="C171" s="439"/>
      <c r="D171" s="439"/>
      <c r="E171" s="439"/>
      <c r="F171" s="439"/>
      <c r="G171" s="439"/>
      <c r="H171" s="439"/>
      <c r="I171" s="439"/>
      <c r="J171" s="439"/>
      <c r="K171" s="439"/>
      <c r="L171" s="439"/>
      <c r="M171" s="439"/>
      <c r="N171" s="439"/>
      <c r="O171" s="439"/>
      <c r="P171" s="439"/>
      <c r="Q171" s="439"/>
      <c r="R171" s="439"/>
      <c r="S171" s="439"/>
    </row>
    <row r="172" spans="1:19" s="75" customFormat="1" ht="15" customHeight="1" hidden="1">
      <c r="A172" s="438"/>
      <c r="B172" s="439"/>
      <c r="C172" s="439"/>
      <c r="D172" s="439"/>
      <c r="E172" s="439"/>
      <c r="F172" s="439"/>
      <c r="G172" s="439"/>
      <c r="H172" s="439"/>
      <c r="I172" s="439"/>
      <c r="J172" s="439"/>
      <c r="K172" s="439"/>
      <c r="L172" s="439"/>
      <c r="M172" s="439"/>
      <c r="N172" s="439"/>
      <c r="O172" s="439"/>
      <c r="P172" s="439"/>
      <c r="Q172" s="439"/>
      <c r="R172" s="439"/>
      <c r="S172" s="439"/>
    </row>
    <row r="173" spans="1:19" s="75" customFormat="1" ht="15" customHeight="1" hidden="1">
      <c r="A173" s="438"/>
      <c r="B173" s="439"/>
      <c r="C173" s="439"/>
      <c r="D173" s="439"/>
      <c r="E173" s="439"/>
      <c r="F173" s="439"/>
      <c r="G173" s="439"/>
      <c r="H173" s="439"/>
      <c r="I173" s="439"/>
      <c r="J173" s="439"/>
      <c r="K173" s="439"/>
      <c r="L173" s="439"/>
      <c r="M173" s="439"/>
      <c r="N173" s="439"/>
      <c r="O173" s="439"/>
      <c r="P173" s="439"/>
      <c r="Q173" s="439"/>
      <c r="R173" s="439"/>
      <c r="S173" s="439"/>
    </row>
    <row r="174" spans="1:19" s="75" customFormat="1" ht="15" hidden="1">
      <c r="A174" s="438"/>
      <c r="B174" s="439"/>
      <c r="C174" s="439"/>
      <c r="D174" s="439"/>
      <c r="E174" s="439"/>
      <c r="F174" s="439"/>
      <c r="G174" s="439"/>
      <c r="H174" s="439"/>
      <c r="I174" s="439"/>
      <c r="J174" s="439"/>
      <c r="K174" s="439"/>
      <c r="L174" s="439"/>
      <c r="M174" s="439"/>
      <c r="N174" s="439"/>
      <c r="O174" s="439"/>
      <c r="P174" s="439"/>
      <c r="Q174" s="439"/>
      <c r="R174" s="439"/>
      <c r="S174" s="439"/>
    </row>
    <row r="175" spans="1:19" s="75" customFormat="1" ht="15" hidden="1">
      <c r="A175" s="438"/>
      <c r="B175" s="439"/>
      <c r="C175" s="439"/>
      <c r="D175" s="439"/>
      <c r="E175" s="439"/>
      <c r="F175" s="439"/>
      <c r="G175" s="439"/>
      <c r="H175" s="439"/>
      <c r="I175" s="439"/>
      <c r="J175" s="439"/>
      <c r="K175" s="439"/>
      <c r="L175" s="439"/>
      <c r="M175" s="439"/>
      <c r="N175" s="439"/>
      <c r="O175" s="439"/>
      <c r="P175" s="439"/>
      <c r="Q175" s="439"/>
      <c r="R175" s="439"/>
      <c r="S175" s="439"/>
    </row>
    <row r="176" spans="1:19" s="75" customFormat="1" ht="15" hidden="1">
      <c r="A176" s="438"/>
      <c r="B176" s="439"/>
      <c r="C176" s="439"/>
      <c r="D176" s="439"/>
      <c r="E176" s="439"/>
      <c r="F176" s="439"/>
      <c r="G176" s="439"/>
      <c r="H176" s="439"/>
      <c r="I176" s="439"/>
      <c r="J176" s="439"/>
      <c r="K176" s="439"/>
      <c r="L176" s="439"/>
      <c r="M176" s="439"/>
      <c r="N176" s="439"/>
      <c r="O176" s="439"/>
      <c r="P176" s="439"/>
      <c r="Q176" s="439"/>
      <c r="R176" s="439"/>
      <c r="S176" s="439"/>
    </row>
    <row r="177" spans="1:19" s="75" customFormat="1" ht="15" customHeight="1" hidden="1">
      <c r="A177" s="438"/>
      <c r="B177" s="439"/>
      <c r="C177" s="439"/>
      <c r="D177" s="439"/>
      <c r="E177" s="439"/>
      <c r="F177" s="439"/>
      <c r="G177" s="439"/>
      <c r="H177" s="439"/>
      <c r="I177" s="439"/>
      <c r="J177" s="439"/>
      <c r="K177" s="439"/>
      <c r="L177" s="439"/>
      <c r="M177" s="439"/>
      <c r="N177" s="439"/>
      <c r="O177" s="439"/>
      <c r="P177" s="439"/>
      <c r="Q177" s="439"/>
      <c r="R177" s="439"/>
      <c r="S177" s="439"/>
    </row>
    <row r="178" spans="1:19" s="75" customFormat="1" ht="15" hidden="1">
      <c r="A178" s="438"/>
      <c r="B178" s="439"/>
      <c r="C178" s="439"/>
      <c r="D178" s="439"/>
      <c r="E178" s="439"/>
      <c r="F178" s="439"/>
      <c r="G178" s="439"/>
      <c r="H178" s="439"/>
      <c r="I178" s="439"/>
      <c r="J178" s="439"/>
      <c r="K178" s="439"/>
      <c r="L178" s="439"/>
      <c r="M178" s="439"/>
      <c r="N178" s="439"/>
      <c r="O178" s="439"/>
      <c r="P178" s="439"/>
      <c r="Q178" s="439"/>
      <c r="R178" s="439"/>
      <c r="S178" s="439"/>
    </row>
    <row r="179" spans="1:19" s="75" customFormat="1" ht="15" customHeight="1" hidden="1">
      <c r="A179" s="438"/>
      <c r="B179" s="439"/>
      <c r="C179" s="439"/>
      <c r="D179" s="439"/>
      <c r="E179" s="439"/>
      <c r="F179" s="439"/>
      <c r="G179" s="439"/>
      <c r="H179" s="439"/>
      <c r="I179" s="439"/>
      <c r="J179" s="439"/>
      <c r="K179" s="439"/>
      <c r="L179" s="439"/>
      <c r="M179" s="439"/>
      <c r="N179" s="439"/>
      <c r="O179" s="439"/>
      <c r="P179" s="439"/>
      <c r="Q179" s="439"/>
      <c r="R179" s="439"/>
      <c r="S179" s="439"/>
    </row>
    <row r="180" spans="1:19" s="75" customFormat="1" ht="15" customHeight="1" hidden="1">
      <c r="A180" s="438"/>
      <c r="B180" s="439"/>
      <c r="C180" s="439"/>
      <c r="D180" s="439"/>
      <c r="E180" s="439"/>
      <c r="F180" s="439"/>
      <c r="G180" s="439"/>
      <c r="H180" s="439"/>
      <c r="I180" s="439"/>
      <c r="J180" s="439"/>
      <c r="K180" s="439"/>
      <c r="L180" s="439"/>
      <c r="M180" s="439"/>
      <c r="N180" s="439"/>
      <c r="O180" s="439"/>
      <c r="P180" s="439"/>
      <c r="Q180" s="439"/>
      <c r="R180" s="439"/>
      <c r="S180" s="439"/>
    </row>
    <row r="181" spans="1:19" s="75" customFormat="1" ht="15" customHeight="1" hidden="1">
      <c r="A181" s="438"/>
      <c r="B181" s="439"/>
      <c r="C181" s="439"/>
      <c r="D181" s="439"/>
      <c r="E181" s="439"/>
      <c r="F181" s="439"/>
      <c r="G181" s="439"/>
      <c r="H181" s="439"/>
      <c r="I181" s="439"/>
      <c r="J181" s="439"/>
      <c r="K181" s="439"/>
      <c r="L181" s="439"/>
      <c r="M181" s="439"/>
      <c r="N181" s="439"/>
      <c r="O181" s="439"/>
      <c r="P181" s="439"/>
      <c r="Q181" s="439"/>
      <c r="R181" s="439"/>
      <c r="S181" s="439"/>
    </row>
    <row r="182" spans="1:19" s="75" customFormat="1" ht="15" hidden="1">
      <c r="A182" s="438"/>
      <c r="B182" s="439"/>
      <c r="C182" s="439"/>
      <c r="D182" s="439"/>
      <c r="E182" s="439"/>
      <c r="F182" s="439"/>
      <c r="G182" s="439"/>
      <c r="H182" s="439"/>
      <c r="I182" s="439"/>
      <c r="J182" s="439"/>
      <c r="K182" s="439"/>
      <c r="L182" s="439"/>
      <c r="M182" s="439"/>
      <c r="N182" s="439"/>
      <c r="O182" s="439"/>
      <c r="P182" s="439"/>
      <c r="Q182" s="439"/>
      <c r="R182" s="439"/>
      <c r="S182" s="439"/>
    </row>
    <row r="183" spans="1:19" s="75" customFormat="1" ht="15" hidden="1">
      <c r="A183" s="438"/>
      <c r="B183" s="439"/>
      <c r="C183" s="439"/>
      <c r="D183" s="439"/>
      <c r="E183" s="439"/>
      <c r="F183" s="439"/>
      <c r="G183" s="439"/>
      <c r="H183" s="439"/>
      <c r="I183" s="439"/>
      <c r="J183" s="439"/>
      <c r="K183" s="439"/>
      <c r="L183" s="439"/>
      <c r="M183" s="439"/>
      <c r="N183" s="439"/>
      <c r="O183" s="439"/>
      <c r="P183" s="439"/>
      <c r="Q183" s="439"/>
      <c r="R183" s="439"/>
      <c r="S183" s="439"/>
    </row>
    <row r="184" spans="1:19" s="75" customFormat="1" ht="15" hidden="1">
      <c r="A184" s="438"/>
      <c r="B184" s="439"/>
      <c r="C184" s="439"/>
      <c r="D184" s="439"/>
      <c r="E184" s="439"/>
      <c r="F184" s="439"/>
      <c r="G184" s="439"/>
      <c r="H184" s="439"/>
      <c r="I184" s="439"/>
      <c r="J184" s="439"/>
      <c r="K184" s="439"/>
      <c r="L184" s="439"/>
      <c r="M184" s="439"/>
      <c r="N184" s="439"/>
      <c r="O184" s="439"/>
      <c r="P184" s="439"/>
      <c r="Q184" s="439"/>
      <c r="R184" s="439"/>
      <c r="S184" s="439"/>
    </row>
    <row r="185" spans="1:19" s="75" customFormat="1" ht="15" customHeight="1" hidden="1">
      <c r="A185" s="438"/>
      <c r="B185" s="439"/>
      <c r="C185" s="439"/>
      <c r="D185" s="439"/>
      <c r="E185" s="439"/>
      <c r="F185" s="439"/>
      <c r="G185" s="439"/>
      <c r="H185" s="439"/>
      <c r="I185" s="439"/>
      <c r="J185" s="439"/>
      <c r="K185" s="439"/>
      <c r="L185" s="439"/>
      <c r="M185" s="439"/>
      <c r="N185" s="439"/>
      <c r="O185" s="439"/>
      <c r="P185" s="439"/>
      <c r="Q185" s="439"/>
      <c r="R185" s="439"/>
      <c r="S185" s="439"/>
    </row>
    <row r="186" spans="1:19" s="75" customFormat="1" ht="15" hidden="1">
      <c r="A186" s="438"/>
      <c r="B186" s="439"/>
      <c r="C186" s="439"/>
      <c r="D186" s="439"/>
      <c r="E186" s="439"/>
      <c r="F186" s="439"/>
      <c r="G186" s="439"/>
      <c r="H186" s="439"/>
      <c r="I186" s="439"/>
      <c r="J186" s="439"/>
      <c r="K186" s="439"/>
      <c r="L186" s="439"/>
      <c r="M186" s="439"/>
      <c r="N186" s="439"/>
      <c r="O186" s="439"/>
      <c r="P186" s="439"/>
      <c r="Q186" s="439"/>
      <c r="R186" s="439"/>
      <c r="S186" s="439"/>
    </row>
    <row r="187" spans="1:19" s="75" customFormat="1" ht="15" customHeight="1" hidden="1">
      <c r="A187" s="438"/>
      <c r="B187" s="439"/>
      <c r="C187" s="439"/>
      <c r="D187" s="439"/>
      <c r="E187" s="439"/>
      <c r="F187" s="439"/>
      <c r="G187" s="439"/>
      <c r="H187" s="439"/>
      <c r="I187" s="439"/>
      <c r="J187" s="439"/>
      <c r="K187" s="439"/>
      <c r="L187" s="439"/>
      <c r="M187" s="439"/>
      <c r="N187" s="439"/>
      <c r="O187" s="439"/>
      <c r="P187" s="439"/>
      <c r="Q187" s="439"/>
      <c r="R187" s="439"/>
      <c r="S187" s="439"/>
    </row>
    <row r="188" spans="1:19" s="75" customFormat="1" ht="15" customHeight="1" hidden="1">
      <c r="A188" s="438"/>
      <c r="B188" s="439"/>
      <c r="C188" s="439"/>
      <c r="D188" s="439"/>
      <c r="E188" s="439"/>
      <c r="F188" s="439"/>
      <c r="G188" s="439"/>
      <c r="H188" s="439"/>
      <c r="I188" s="439"/>
      <c r="J188" s="439"/>
      <c r="K188" s="439"/>
      <c r="L188" s="439"/>
      <c r="M188" s="439"/>
      <c r="N188" s="439"/>
      <c r="O188" s="439"/>
      <c r="P188" s="439"/>
      <c r="Q188" s="439"/>
      <c r="R188" s="439"/>
      <c r="S188" s="439"/>
    </row>
    <row r="189" spans="1:19" s="75" customFormat="1" ht="15" customHeight="1" hidden="1">
      <c r="A189" s="438"/>
      <c r="B189" s="439"/>
      <c r="C189" s="439"/>
      <c r="D189" s="439"/>
      <c r="E189" s="439"/>
      <c r="F189" s="439"/>
      <c r="G189" s="439"/>
      <c r="H189" s="439"/>
      <c r="I189" s="439"/>
      <c r="J189" s="439"/>
      <c r="K189" s="439"/>
      <c r="L189" s="439"/>
      <c r="M189" s="439"/>
      <c r="N189" s="439"/>
      <c r="O189" s="439"/>
      <c r="P189" s="439"/>
      <c r="Q189" s="439"/>
      <c r="R189" s="439"/>
      <c r="S189" s="439"/>
    </row>
    <row r="190" spans="1:19" s="75" customFormat="1" ht="15" hidden="1">
      <c r="A190" s="438"/>
      <c r="B190" s="439"/>
      <c r="C190" s="439"/>
      <c r="D190" s="439"/>
      <c r="E190" s="439"/>
      <c r="F190" s="439"/>
      <c r="G190" s="439"/>
      <c r="H190" s="439"/>
      <c r="I190" s="439"/>
      <c r="J190" s="439"/>
      <c r="K190" s="439"/>
      <c r="L190" s="439"/>
      <c r="M190" s="439"/>
      <c r="N190" s="439"/>
      <c r="O190" s="439"/>
      <c r="P190" s="439"/>
      <c r="Q190" s="439"/>
      <c r="R190" s="439"/>
      <c r="S190" s="439"/>
    </row>
    <row r="191" spans="1:19" s="75" customFormat="1" ht="15" hidden="1">
      <c r="A191" s="438"/>
      <c r="B191" s="439"/>
      <c r="C191" s="439"/>
      <c r="D191" s="439"/>
      <c r="E191" s="439"/>
      <c r="F191" s="439"/>
      <c r="G191" s="439"/>
      <c r="H191" s="439"/>
      <c r="I191" s="439"/>
      <c r="J191" s="439"/>
      <c r="K191" s="439"/>
      <c r="L191" s="439"/>
      <c r="M191" s="439"/>
      <c r="N191" s="439"/>
      <c r="O191" s="439"/>
      <c r="P191" s="439"/>
      <c r="Q191" s="439"/>
      <c r="R191" s="439"/>
      <c r="S191" s="439"/>
    </row>
    <row r="192" spans="1:19" s="75" customFormat="1" ht="15" hidden="1">
      <c r="A192" s="438"/>
      <c r="B192" s="439"/>
      <c r="C192" s="439"/>
      <c r="D192" s="439"/>
      <c r="E192" s="439"/>
      <c r="F192" s="439"/>
      <c r="G192" s="439"/>
      <c r="H192" s="439"/>
      <c r="I192" s="439"/>
      <c r="J192" s="439"/>
      <c r="K192" s="439"/>
      <c r="L192" s="439"/>
      <c r="M192" s="439"/>
      <c r="N192" s="439"/>
      <c r="O192" s="439"/>
      <c r="P192" s="439"/>
      <c r="Q192" s="439"/>
      <c r="R192" s="439"/>
      <c r="S192" s="439"/>
    </row>
    <row r="193" spans="1:19" s="75" customFormat="1" ht="15" customHeight="1" hidden="1">
      <c r="A193" s="438"/>
      <c r="B193" s="439"/>
      <c r="C193" s="439"/>
      <c r="D193" s="439"/>
      <c r="E193" s="439"/>
      <c r="F193" s="439"/>
      <c r="G193" s="439"/>
      <c r="H193" s="439"/>
      <c r="I193" s="439"/>
      <c r="J193" s="439"/>
      <c r="K193" s="439"/>
      <c r="L193" s="439"/>
      <c r="M193" s="439"/>
      <c r="N193" s="439"/>
      <c r="O193" s="439"/>
      <c r="P193" s="439"/>
      <c r="Q193" s="439"/>
      <c r="R193" s="439"/>
      <c r="S193" s="439"/>
    </row>
    <row r="194" spans="1:19" s="75" customFormat="1" ht="15" hidden="1">
      <c r="A194" s="438"/>
      <c r="B194" s="439"/>
      <c r="C194" s="439"/>
      <c r="D194" s="439"/>
      <c r="E194" s="439"/>
      <c r="F194" s="439"/>
      <c r="G194" s="439"/>
      <c r="H194" s="439"/>
      <c r="I194" s="439"/>
      <c r="J194" s="439"/>
      <c r="K194" s="439"/>
      <c r="L194" s="439"/>
      <c r="M194" s="439"/>
      <c r="N194" s="439"/>
      <c r="O194" s="439"/>
      <c r="P194" s="439"/>
      <c r="Q194" s="439"/>
      <c r="R194" s="439"/>
      <c r="S194" s="439"/>
    </row>
    <row r="195" spans="1:19" s="75" customFormat="1" ht="15" customHeight="1" hidden="1">
      <c r="A195" s="438"/>
      <c r="B195" s="439"/>
      <c r="C195" s="439"/>
      <c r="D195" s="439"/>
      <c r="E195" s="439"/>
      <c r="F195" s="439"/>
      <c r="G195" s="439"/>
      <c r="H195" s="439"/>
      <c r="I195" s="439"/>
      <c r="J195" s="439"/>
      <c r="K195" s="439"/>
      <c r="L195" s="439"/>
      <c r="M195" s="439"/>
      <c r="N195" s="439"/>
      <c r="O195" s="439"/>
      <c r="P195" s="439"/>
      <c r="Q195" s="439"/>
      <c r="R195" s="439"/>
      <c r="S195" s="439"/>
    </row>
    <row r="196" spans="1:19" s="75" customFormat="1" ht="15" customHeight="1" hidden="1">
      <c r="A196" s="438"/>
      <c r="B196" s="439"/>
      <c r="C196" s="439"/>
      <c r="D196" s="439"/>
      <c r="E196" s="439"/>
      <c r="F196" s="439"/>
      <c r="G196" s="439"/>
      <c r="H196" s="439"/>
      <c r="I196" s="439"/>
      <c r="J196" s="439"/>
      <c r="K196" s="439"/>
      <c r="L196" s="439"/>
      <c r="M196" s="439"/>
      <c r="N196" s="439"/>
      <c r="O196" s="439"/>
      <c r="P196" s="439"/>
      <c r="Q196" s="439"/>
      <c r="R196" s="439"/>
      <c r="S196" s="439"/>
    </row>
    <row r="197" spans="1:19" s="75" customFormat="1" ht="15" customHeight="1" hidden="1">
      <c r="A197" s="438"/>
      <c r="B197" s="439"/>
      <c r="C197" s="439"/>
      <c r="D197" s="439"/>
      <c r="E197" s="439"/>
      <c r="F197" s="439"/>
      <c r="G197" s="439"/>
      <c r="H197" s="439"/>
      <c r="I197" s="439"/>
      <c r="J197" s="439"/>
      <c r="K197" s="439"/>
      <c r="L197" s="439"/>
      <c r="M197" s="439"/>
      <c r="N197" s="439"/>
      <c r="O197" s="439"/>
      <c r="P197" s="439"/>
      <c r="Q197" s="439"/>
      <c r="R197" s="439"/>
      <c r="S197" s="439"/>
    </row>
    <row r="198" spans="1:19" s="75" customFormat="1" ht="15" hidden="1">
      <c r="A198" s="438"/>
      <c r="B198" s="439"/>
      <c r="C198" s="439"/>
      <c r="D198" s="439"/>
      <c r="E198" s="439"/>
      <c r="F198" s="439"/>
      <c r="G198" s="439"/>
      <c r="H198" s="439"/>
      <c r="I198" s="439"/>
      <c r="J198" s="439"/>
      <c r="K198" s="439"/>
      <c r="L198" s="439"/>
      <c r="M198" s="439"/>
      <c r="N198" s="439"/>
      <c r="O198" s="439"/>
      <c r="P198" s="439"/>
      <c r="Q198" s="439"/>
      <c r="R198" s="439"/>
      <c r="S198" s="439"/>
    </row>
    <row r="199" spans="1:19" s="75" customFormat="1" ht="15" hidden="1">
      <c r="A199" s="438"/>
      <c r="B199" s="439"/>
      <c r="C199" s="439"/>
      <c r="D199" s="439"/>
      <c r="E199" s="439"/>
      <c r="F199" s="439"/>
      <c r="G199" s="439"/>
      <c r="H199" s="439"/>
      <c r="I199" s="439"/>
      <c r="J199" s="439"/>
      <c r="K199" s="439"/>
      <c r="L199" s="439"/>
      <c r="M199" s="439"/>
      <c r="N199" s="439"/>
      <c r="O199" s="439"/>
      <c r="P199" s="439"/>
      <c r="Q199" s="439"/>
      <c r="R199" s="439"/>
      <c r="S199" s="439"/>
    </row>
    <row r="200" spans="1:19" s="75" customFormat="1" ht="15" hidden="1">
      <c r="A200" s="438"/>
      <c r="B200" s="439"/>
      <c r="C200" s="439"/>
      <c r="D200" s="439"/>
      <c r="E200" s="439"/>
      <c r="F200" s="439"/>
      <c r="G200" s="439"/>
      <c r="H200" s="439"/>
      <c r="I200" s="439"/>
      <c r="J200" s="439"/>
      <c r="K200" s="439"/>
      <c r="L200" s="439"/>
      <c r="M200" s="439"/>
      <c r="N200" s="439"/>
      <c r="O200" s="439"/>
      <c r="P200" s="439"/>
      <c r="Q200" s="439"/>
      <c r="R200" s="439"/>
      <c r="S200" s="439"/>
    </row>
    <row r="201" spans="1:19" s="75" customFormat="1" ht="15" customHeight="1" hidden="1">
      <c r="A201" s="438"/>
      <c r="B201" s="439"/>
      <c r="C201" s="439"/>
      <c r="D201" s="439"/>
      <c r="E201" s="439"/>
      <c r="F201" s="439"/>
      <c r="G201" s="439"/>
      <c r="H201" s="439"/>
      <c r="I201" s="439"/>
      <c r="J201" s="439"/>
      <c r="K201" s="439"/>
      <c r="L201" s="439"/>
      <c r="M201" s="439"/>
      <c r="N201" s="439"/>
      <c r="O201" s="439"/>
      <c r="P201" s="439"/>
      <c r="Q201" s="439"/>
      <c r="R201" s="439"/>
      <c r="S201" s="439"/>
    </row>
    <row r="202" spans="1:19" s="75" customFormat="1" ht="15" hidden="1">
      <c r="A202" s="438"/>
      <c r="B202" s="439"/>
      <c r="C202" s="439"/>
      <c r="D202" s="439"/>
      <c r="E202" s="439"/>
      <c r="F202" s="439"/>
      <c r="G202" s="439"/>
      <c r="H202" s="439"/>
      <c r="I202" s="439"/>
      <c r="J202" s="439"/>
      <c r="K202" s="439"/>
      <c r="L202" s="439"/>
      <c r="M202" s="439"/>
      <c r="N202" s="439"/>
      <c r="O202" s="439"/>
      <c r="P202" s="439"/>
      <c r="Q202" s="439"/>
      <c r="R202" s="439"/>
      <c r="S202" s="439"/>
    </row>
    <row r="203" spans="1:19" ht="15" customHeight="1" hidden="1">
      <c r="A203" s="438"/>
      <c r="B203" s="439"/>
      <c r="C203" s="439"/>
      <c r="D203" s="439"/>
      <c r="E203" s="439"/>
      <c r="F203" s="439"/>
      <c r="G203" s="439"/>
      <c r="H203" s="439"/>
      <c r="I203" s="439"/>
      <c r="J203" s="439"/>
      <c r="K203" s="439"/>
      <c r="L203" s="439"/>
      <c r="M203" s="439"/>
      <c r="N203" s="439"/>
      <c r="O203" s="439"/>
      <c r="P203" s="439"/>
      <c r="Q203" s="439"/>
      <c r="R203" s="439"/>
      <c r="S203" s="439"/>
    </row>
    <row r="204" spans="1:19" ht="15" hidden="1">
      <c r="A204" s="438"/>
      <c r="B204" s="439"/>
      <c r="C204" s="439"/>
      <c r="D204" s="439"/>
      <c r="E204" s="439"/>
      <c r="F204" s="439"/>
      <c r="G204" s="439"/>
      <c r="H204" s="439"/>
      <c r="I204" s="439"/>
      <c r="J204" s="439"/>
      <c r="K204" s="439"/>
      <c r="L204" s="439"/>
      <c r="M204" s="439"/>
      <c r="N204" s="439"/>
      <c r="O204" s="439"/>
      <c r="P204" s="439"/>
      <c r="Q204" s="439"/>
      <c r="R204" s="439"/>
      <c r="S204" s="439"/>
    </row>
    <row r="205" spans="1:19" ht="15" hidden="1">
      <c r="A205" s="438"/>
      <c r="B205" s="439"/>
      <c r="C205" s="439"/>
      <c r="D205" s="439"/>
      <c r="E205" s="439"/>
      <c r="F205" s="439"/>
      <c r="G205" s="439"/>
      <c r="H205" s="439"/>
      <c r="I205" s="439"/>
      <c r="J205" s="439"/>
      <c r="K205" s="439"/>
      <c r="L205" s="439"/>
      <c r="M205" s="439"/>
      <c r="N205" s="439"/>
      <c r="O205" s="439"/>
      <c r="P205" s="439"/>
      <c r="Q205" s="439"/>
      <c r="R205" s="439"/>
      <c r="S205" s="439"/>
    </row>
    <row r="206" spans="1:19" ht="15" hidden="1">
      <c r="A206" s="438"/>
      <c r="B206" s="439"/>
      <c r="C206" s="439"/>
      <c r="D206" s="439"/>
      <c r="E206" s="439"/>
      <c r="F206" s="439"/>
      <c r="G206" s="439"/>
      <c r="H206" s="439"/>
      <c r="I206" s="439"/>
      <c r="J206" s="439"/>
      <c r="K206" s="439"/>
      <c r="L206" s="439"/>
      <c r="M206" s="439"/>
      <c r="N206" s="439"/>
      <c r="O206" s="439"/>
      <c r="P206" s="439"/>
      <c r="Q206" s="439"/>
      <c r="R206" s="439"/>
      <c r="S206" s="439"/>
    </row>
    <row r="207" spans="1:19" ht="15" hidden="1">
      <c r="A207" s="438"/>
      <c r="B207" s="439"/>
      <c r="C207" s="439"/>
      <c r="D207" s="439"/>
      <c r="E207" s="439"/>
      <c r="F207" s="439"/>
      <c r="G207" s="439"/>
      <c r="H207" s="439"/>
      <c r="I207" s="439"/>
      <c r="J207" s="439"/>
      <c r="K207" s="439"/>
      <c r="L207" s="439"/>
      <c r="M207" s="439"/>
      <c r="N207" s="439"/>
      <c r="O207" s="439"/>
      <c r="P207" s="439"/>
      <c r="Q207" s="439"/>
      <c r="R207" s="439"/>
      <c r="S207" s="439"/>
    </row>
    <row r="208" spans="1:19" ht="15" hidden="1">
      <c r="A208" s="438"/>
      <c r="B208" s="439"/>
      <c r="C208" s="439"/>
      <c r="D208" s="439"/>
      <c r="E208" s="439"/>
      <c r="F208" s="439"/>
      <c r="G208" s="439"/>
      <c r="H208" s="439"/>
      <c r="I208" s="439"/>
      <c r="J208" s="439"/>
      <c r="K208" s="439"/>
      <c r="L208" s="439"/>
      <c r="M208" s="439"/>
      <c r="N208" s="439"/>
      <c r="O208" s="439"/>
      <c r="P208" s="439"/>
      <c r="Q208" s="439"/>
      <c r="R208" s="439"/>
      <c r="S208" s="439"/>
    </row>
    <row r="209" spans="1:19" ht="15" hidden="1">
      <c r="A209" s="438"/>
      <c r="B209" s="439"/>
      <c r="C209" s="439"/>
      <c r="D209" s="439"/>
      <c r="E209" s="439"/>
      <c r="F209" s="439"/>
      <c r="G209" s="439"/>
      <c r="H209" s="439"/>
      <c r="I209" s="439"/>
      <c r="J209" s="439"/>
      <c r="K209" s="439"/>
      <c r="L209" s="439"/>
      <c r="M209" s="439"/>
      <c r="N209" s="439"/>
      <c r="O209" s="439"/>
      <c r="P209" s="439"/>
      <c r="Q209" s="439"/>
      <c r="R209" s="439"/>
      <c r="S209" s="439"/>
    </row>
    <row r="210" spans="1:19" ht="15" hidden="1">
      <c r="A210" s="438"/>
      <c r="B210" s="439"/>
      <c r="C210" s="439"/>
      <c r="D210" s="439"/>
      <c r="E210" s="439"/>
      <c r="F210" s="439"/>
      <c r="G210" s="439"/>
      <c r="H210" s="439"/>
      <c r="I210" s="439"/>
      <c r="J210" s="439"/>
      <c r="K210" s="439"/>
      <c r="L210" s="439"/>
      <c r="M210" s="439"/>
      <c r="N210" s="439"/>
      <c r="O210" s="439"/>
      <c r="P210" s="439"/>
      <c r="Q210" s="439"/>
      <c r="R210" s="439"/>
      <c r="S210" s="439"/>
    </row>
    <row r="211" spans="1:19" ht="15" hidden="1">
      <c r="A211" s="438"/>
      <c r="B211" s="439"/>
      <c r="C211" s="439"/>
      <c r="D211" s="439"/>
      <c r="E211" s="439"/>
      <c r="F211" s="439"/>
      <c r="G211" s="439"/>
      <c r="H211" s="439"/>
      <c r="I211" s="439"/>
      <c r="J211" s="439"/>
      <c r="K211" s="439"/>
      <c r="L211" s="439"/>
      <c r="M211" s="439"/>
      <c r="N211" s="439"/>
      <c r="O211" s="439"/>
      <c r="P211" s="439"/>
      <c r="Q211" s="439"/>
      <c r="R211" s="439"/>
      <c r="S211" s="439"/>
    </row>
    <row r="212" spans="1:19" ht="15" hidden="1">
      <c r="A212" s="438"/>
      <c r="B212" s="439"/>
      <c r="C212" s="439"/>
      <c r="D212" s="439"/>
      <c r="E212" s="439"/>
      <c r="F212" s="439"/>
      <c r="G212" s="439"/>
      <c r="H212" s="439"/>
      <c r="I212" s="439"/>
      <c r="J212" s="439"/>
      <c r="K212" s="439"/>
      <c r="L212" s="439"/>
      <c r="M212" s="439"/>
      <c r="N212" s="439"/>
      <c r="O212" s="439"/>
      <c r="P212" s="439"/>
      <c r="Q212" s="439"/>
      <c r="R212" s="439"/>
      <c r="S212" s="439"/>
    </row>
    <row r="213" spans="1:19" ht="15" hidden="1">
      <c r="A213" s="438"/>
      <c r="B213" s="439"/>
      <c r="C213" s="439"/>
      <c r="D213" s="439"/>
      <c r="E213" s="439"/>
      <c r="F213" s="439"/>
      <c r="G213" s="439"/>
      <c r="H213" s="439"/>
      <c r="I213" s="439"/>
      <c r="J213" s="439"/>
      <c r="K213" s="439"/>
      <c r="L213" s="439"/>
      <c r="M213" s="439"/>
      <c r="N213" s="439"/>
      <c r="O213" s="439"/>
      <c r="P213" s="439"/>
      <c r="Q213" s="439"/>
      <c r="R213" s="439"/>
      <c r="S213" s="439"/>
    </row>
    <row r="214" spans="1:19" ht="15" hidden="1">
      <c r="A214" s="438"/>
      <c r="B214" s="439"/>
      <c r="C214" s="439"/>
      <c r="D214" s="439"/>
      <c r="E214" s="439"/>
      <c r="F214" s="439"/>
      <c r="G214" s="439"/>
      <c r="H214" s="439"/>
      <c r="I214" s="439"/>
      <c r="J214" s="439"/>
      <c r="K214" s="439"/>
      <c r="L214" s="439"/>
      <c r="M214" s="439"/>
      <c r="N214" s="439"/>
      <c r="O214" s="439"/>
      <c r="P214" s="439"/>
      <c r="Q214" s="439"/>
      <c r="R214" s="439"/>
      <c r="S214" s="439"/>
    </row>
    <row r="215" spans="1:19" ht="15" hidden="1">
      <c r="A215" s="438"/>
      <c r="B215" s="439"/>
      <c r="C215" s="439"/>
      <c r="D215" s="439"/>
      <c r="E215" s="439"/>
      <c r="F215" s="439"/>
      <c r="G215" s="439"/>
      <c r="H215" s="439"/>
      <c r="I215" s="439"/>
      <c r="J215" s="439"/>
      <c r="K215" s="439"/>
      <c r="L215" s="439"/>
      <c r="M215" s="439"/>
      <c r="N215" s="439"/>
      <c r="O215" s="439"/>
      <c r="P215" s="439"/>
      <c r="Q215" s="439"/>
      <c r="R215" s="439"/>
      <c r="S215" s="439"/>
    </row>
    <row r="216" spans="1:19" ht="15" hidden="1">
      <c r="A216" s="438"/>
      <c r="B216" s="439"/>
      <c r="C216" s="439"/>
      <c r="D216" s="439"/>
      <c r="E216" s="439"/>
      <c r="F216" s="439"/>
      <c r="G216" s="439"/>
      <c r="H216" s="439"/>
      <c r="I216" s="439"/>
      <c r="J216" s="439"/>
      <c r="K216" s="439"/>
      <c r="L216" s="439"/>
      <c r="M216" s="439"/>
      <c r="N216" s="439"/>
      <c r="O216" s="439"/>
      <c r="P216" s="439"/>
      <c r="Q216" s="439"/>
      <c r="R216" s="439"/>
      <c r="S216" s="439"/>
    </row>
    <row r="217" spans="1:19" ht="15" hidden="1">
      <c r="A217" s="438"/>
      <c r="B217" s="439"/>
      <c r="C217" s="439"/>
      <c r="D217" s="439"/>
      <c r="E217" s="439"/>
      <c r="F217" s="439"/>
      <c r="G217" s="439"/>
      <c r="H217" s="439"/>
      <c r="I217" s="439"/>
      <c r="J217" s="439"/>
      <c r="K217" s="439"/>
      <c r="L217" s="439"/>
      <c r="M217" s="439"/>
      <c r="N217" s="439"/>
      <c r="O217" s="439"/>
      <c r="P217" s="439"/>
      <c r="Q217" s="439"/>
      <c r="R217" s="439"/>
      <c r="S217" s="439"/>
    </row>
    <row r="218" spans="1:19" ht="15" hidden="1">
      <c r="A218" s="438"/>
      <c r="B218" s="439"/>
      <c r="C218" s="439"/>
      <c r="D218" s="439"/>
      <c r="E218" s="439"/>
      <c r="F218" s="439"/>
      <c r="G218" s="439"/>
      <c r="H218" s="439"/>
      <c r="I218" s="439"/>
      <c r="J218" s="439"/>
      <c r="K218" s="439"/>
      <c r="L218" s="439"/>
      <c r="M218" s="439"/>
      <c r="N218" s="439"/>
      <c r="O218" s="439"/>
      <c r="P218" s="439"/>
      <c r="Q218" s="439"/>
      <c r="R218" s="439"/>
      <c r="S218" s="439"/>
    </row>
    <row r="219" spans="1:19" ht="15" hidden="1">
      <c r="A219" s="438"/>
      <c r="B219" s="439"/>
      <c r="C219" s="439"/>
      <c r="D219" s="439"/>
      <c r="E219" s="439"/>
      <c r="F219" s="439"/>
      <c r="G219" s="439"/>
      <c r="H219" s="439"/>
      <c r="I219" s="439"/>
      <c r="J219" s="439"/>
      <c r="K219" s="439"/>
      <c r="L219" s="439"/>
      <c r="M219" s="439"/>
      <c r="N219" s="439"/>
      <c r="O219" s="439"/>
      <c r="P219" s="439"/>
      <c r="Q219" s="439"/>
      <c r="R219" s="439"/>
      <c r="S219" s="439"/>
    </row>
    <row r="220" spans="1:19" ht="15" hidden="1">
      <c r="A220" s="438"/>
      <c r="B220" s="439"/>
      <c r="C220" s="439"/>
      <c r="D220" s="439"/>
      <c r="E220" s="439"/>
      <c r="F220" s="439"/>
      <c r="G220" s="439"/>
      <c r="H220" s="439"/>
      <c r="I220" s="439"/>
      <c r="J220" s="439"/>
      <c r="K220" s="439"/>
      <c r="L220" s="439"/>
      <c r="M220" s="439"/>
      <c r="N220" s="439"/>
      <c r="O220" s="439"/>
      <c r="P220" s="439"/>
      <c r="Q220" s="439"/>
      <c r="R220" s="439"/>
      <c r="S220" s="439"/>
    </row>
    <row r="221" spans="1:19" ht="15" hidden="1">
      <c r="A221" s="438"/>
      <c r="B221" s="439"/>
      <c r="C221" s="439"/>
      <c r="D221" s="439"/>
      <c r="E221" s="439"/>
      <c r="F221" s="439"/>
      <c r="G221" s="439"/>
      <c r="H221" s="439"/>
      <c r="I221" s="439"/>
      <c r="J221" s="439"/>
      <c r="K221" s="439"/>
      <c r="L221" s="439"/>
      <c r="M221" s="439"/>
      <c r="N221" s="439"/>
      <c r="O221" s="439"/>
      <c r="P221" s="439"/>
      <c r="Q221" s="439"/>
      <c r="R221" s="439"/>
      <c r="S221" s="439"/>
    </row>
    <row r="222" spans="1:19" ht="15" hidden="1">
      <c r="A222" s="438"/>
      <c r="B222" s="439"/>
      <c r="C222" s="439"/>
      <c r="D222" s="439"/>
      <c r="E222" s="439"/>
      <c r="F222" s="439"/>
      <c r="G222" s="439"/>
      <c r="H222" s="439"/>
      <c r="I222" s="439"/>
      <c r="J222" s="439"/>
      <c r="K222" s="439"/>
      <c r="L222" s="439"/>
      <c r="M222" s="439"/>
      <c r="N222" s="439"/>
      <c r="O222" s="439"/>
      <c r="P222" s="439"/>
      <c r="Q222" s="439"/>
      <c r="R222" s="439"/>
      <c r="S222" s="439"/>
    </row>
    <row r="223" spans="1:19" ht="15" hidden="1">
      <c r="A223" s="438"/>
      <c r="B223" s="439"/>
      <c r="C223" s="439"/>
      <c r="D223" s="439"/>
      <c r="E223" s="439"/>
      <c r="F223" s="439"/>
      <c r="G223" s="439"/>
      <c r="H223" s="439"/>
      <c r="I223" s="439"/>
      <c r="J223" s="439"/>
      <c r="K223" s="439"/>
      <c r="L223" s="439"/>
      <c r="M223" s="439"/>
      <c r="N223" s="439"/>
      <c r="O223" s="439"/>
      <c r="P223" s="439"/>
      <c r="Q223" s="439"/>
      <c r="R223" s="439"/>
      <c r="S223" s="439"/>
    </row>
    <row r="224" spans="1:19" ht="15" hidden="1">
      <c r="A224" s="438"/>
      <c r="B224" s="439"/>
      <c r="C224" s="439"/>
      <c r="D224" s="439"/>
      <c r="E224" s="439"/>
      <c r="F224" s="439"/>
      <c r="G224" s="439"/>
      <c r="H224" s="439"/>
      <c r="I224" s="439"/>
      <c r="J224" s="439"/>
      <c r="K224" s="439"/>
      <c r="L224" s="439"/>
      <c r="M224" s="439"/>
      <c r="N224" s="439"/>
      <c r="O224" s="439"/>
      <c r="P224" s="439"/>
      <c r="Q224" s="439"/>
      <c r="R224" s="439"/>
      <c r="S224" s="439"/>
    </row>
    <row r="225" spans="1:19" ht="15" hidden="1">
      <c r="A225" s="438"/>
      <c r="B225" s="439"/>
      <c r="C225" s="439"/>
      <c r="D225" s="439"/>
      <c r="E225" s="439"/>
      <c r="F225" s="439"/>
      <c r="G225" s="439"/>
      <c r="H225" s="439"/>
      <c r="I225" s="439"/>
      <c r="J225" s="439"/>
      <c r="K225" s="439"/>
      <c r="L225" s="439"/>
      <c r="M225" s="439"/>
      <c r="N225" s="439"/>
      <c r="O225" s="439"/>
      <c r="P225" s="439"/>
      <c r="Q225" s="439"/>
      <c r="R225" s="439"/>
      <c r="S225" s="439"/>
    </row>
    <row r="226" spans="1:19" ht="15" hidden="1">
      <c r="A226" s="438"/>
      <c r="B226" s="439"/>
      <c r="C226" s="439"/>
      <c r="D226" s="439"/>
      <c r="E226" s="439"/>
      <c r="F226" s="439"/>
      <c r="G226" s="439"/>
      <c r="H226" s="439"/>
      <c r="I226" s="439"/>
      <c r="J226" s="439"/>
      <c r="K226" s="439"/>
      <c r="L226" s="439"/>
      <c r="M226" s="439"/>
      <c r="N226" s="439"/>
      <c r="O226" s="439"/>
      <c r="P226" s="439"/>
      <c r="Q226" s="439"/>
      <c r="R226" s="439"/>
      <c r="S226" s="439"/>
    </row>
    <row r="227" spans="1:19" ht="15" hidden="1">
      <c r="A227" s="438"/>
      <c r="B227" s="439"/>
      <c r="C227" s="439"/>
      <c r="D227" s="439"/>
      <c r="E227" s="439"/>
      <c r="F227" s="439"/>
      <c r="G227" s="439"/>
      <c r="H227" s="439"/>
      <c r="I227" s="439"/>
      <c r="J227" s="439"/>
      <c r="K227" s="439"/>
      <c r="L227" s="439"/>
      <c r="M227" s="439"/>
      <c r="N227" s="439"/>
      <c r="O227" s="439"/>
      <c r="P227" s="439"/>
      <c r="Q227" s="439"/>
      <c r="R227" s="439"/>
      <c r="S227" s="439"/>
    </row>
    <row r="228" spans="1:19" ht="15" hidden="1">
      <c r="A228" s="438"/>
      <c r="B228" s="439"/>
      <c r="C228" s="439"/>
      <c r="D228" s="439"/>
      <c r="E228" s="439"/>
      <c r="F228" s="439"/>
      <c r="G228" s="439"/>
      <c r="H228" s="439"/>
      <c r="I228" s="439"/>
      <c r="J228" s="439"/>
      <c r="K228" s="439"/>
      <c r="L228" s="439"/>
      <c r="M228" s="439"/>
      <c r="N228" s="439"/>
      <c r="O228" s="439"/>
      <c r="P228" s="439"/>
      <c r="Q228" s="439"/>
      <c r="R228" s="439"/>
      <c r="S228" s="439"/>
    </row>
    <row r="229" spans="1:19" ht="15" hidden="1">
      <c r="A229" s="438"/>
      <c r="B229" s="439"/>
      <c r="C229" s="439"/>
      <c r="D229" s="439"/>
      <c r="E229" s="439"/>
      <c r="F229" s="439"/>
      <c r="G229" s="439"/>
      <c r="H229" s="439"/>
      <c r="I229" s="439"/>
      <c r="J229" s="439"/>
      <c r="K229" s="439"/>
      <c r="L229" s="439"/>
      <c r="M229" s="439"/>
      <c r="N229" s="439"/>
      <c r="O229" s="439"/>
      <c r="P229" s="439"/>
      <c r="Q229" s="439"/>
      <c r="R229" s="439"/>
      <c r="S229" s="439"/>
    </row>
    <row r="230" spans="1:19" ht="15" hidden="1">
      <c r="A230" s="438"/>
      <c r="B230" s="439"/>
      <c r="C230" s="439"/>
      <c r="D230" s="439"/>
      <c r="E230" s="439"/>
      <c r="F230" s="439"/>
      <c r="G230" s="439"/>
      <c r="H230" s="439"/>
      <c r="I230" s="439"/>
      <c r="J230" s="439"/>
      <c r="K230" s="439"/>
      <c r="L230" s="439"/>
      <c r="M230" s="439"/>
      <c r="N230" s="439"/>
      <c r="O230" s="439"/>
      <c r="P230" s="439"/>
      <c r="Q230" s="439"/>
      <c r="R230" s="439"/>
      <c r="S230" s="439"/>
    </row>
    <row r="231" spans="1:19" ht="15" hidden="1">
      <c r="A231" s="438"/>
      <c r="B231" s="439"/>
      <c r="C231" s="439"/>
      <c r="D231" s="439"/>
      <c r="E231" s="439"/>
      <c r="F231" s="439"/>
      <c r="G231" s="439"/>
      <c r="H231" s="439"/>
      <c r="I231" s="439"/>
      <c r="J231" s="439"/>
      <c r="K231" s="439"/>
      <c r="L231" s="439"/>
      <c r="M231" s="439"/>
      <c r="N231" s="439"/>
      <c r="O231" s="439"/>
      <c r="P231" s="439"/>
      <c r="Q231" s="439"/>
      <c r="R231" s="439"/>
      <c r="S231" s="439"/>
    </row>
    <row r="232" spans="1:19" ht="15" hidden="1">
      <c r="A232" s="438"/>
      <c r="B232" s="439"/>
      <c r="C232" s="439"/>
      <c r="D232" s="439"/>
      <c r="E232" s="439"/>
      <c r="F232" s="439"/>
      <c r="G232" s="439"/>
      <c r="H232" s="439"/>
      <c r="I232" s="439"/>
      <c r="J232" s="439"/>
      <c r="K232" s="439"/>
      <c r="L232" s="439"/>
      <c r="M232" s="439"/>
      <c r="N232" s="439"/>
      <c r="O232" s="439"/>
      <c r="P232" s="439"/>
      <c r="Q232" s="439"/>
      <c r="R232" s="439"/>
      <c r="S232" s="439"/>
    </row>
    <row r="233" spans="1:19" ht="15" hidden="1">
      <c r="A233" s="438"/>
      <c r="B233" s="439"/>
      <c r="C233" s="439"/>
      <c r="D233" s="439"/>
      <c r="E233" s="439"/>
      <c r="F233" s="439"/>
      <c r="G233" s="439"/>
      <c r="H233" s="439"/>
      <c r="I233" s="439"/>
      <c r="J233" s="439"/>
      <c r="K233" s="439"/>
      <c r="L233" s="439"/>
      <c r="M233" s="439"/>
      <c r="N233" s="439"/>
      <c r="O233" s="439"/>
      <c r="P233" s="439"/>
      <c r="Q233" s="439"/>
      <c r="R233" s="439"/>
      <c r="S233" s="439"/>
    </row>
    <row r="234" spans="1:19" ht="15" hidden="1">
      <c r="A234" s="438"/>
      <c r="B234" s="439"/>
      <c r="C234" s="439"/>
      <c r="D234" s="439"/>
      <c r="E234" s="439"/>
      <c r="F234" s="439"/>
      <c r="G234" s="439"/>
      <c r="H234" s="439"/>
      <c r="I234" s="439"/>
      <c r="J234" s="439"/>
      <c r="K234" s="439"/>
      <c r="L234" s="439"/>
      <c r="M234" s="439"/>
      <c r="N234" s="439"/>
      <c r="O234" s="439"/>
      <c r="P234" s="439"/>
      <c r="Q234" s="439"/>
      <c r="R234" s="439"/>
      <c r="S234" s="439"/>
    </row>
    <row r="235" spans="1:19" ht="15" hidden="1">
      <c r="A235" s="438"/>
      <c r="B235" s="439"/>
      <c r="C235" s="439"/>
      <c r="D235" s="439"/>
      <c r="E235" s="439"/>
      <c r="F235" s="439"/>
      <c r="G235" s="439"/>
      <c r="H235" s="439"/>
      <c r="I235" s="439"/>
      <c r="J235" s="439"/>
      <c r="K235" s="439"/>
      <c r="L235" s="439"/>
      <c r="M235" s="439"/>
      <c r="N235" s="439"/>
      <c r="O235" s="439"/>
      <c r="P235" s="439"/>
      <c r="Q235" s="439"/>
      <c r="R235" s="439"/>
      <c r="S235" s="439"/>
    </row>
    <row r="236" spans="1:19" ht="15" hidden="1">
      <c r="A236" s="438"/>
      <c r="B236" s="439"/>
      <c r="C236" s="439"/>
      <c r="D236" s="439"/>
      <c r="E236" s="439"/>
      <c r="F236" s="439"/>
      <c r="G236" s="439"/>
      <c r="H236" s="439"/>
      <c r="I236" s="439"/>
      <c r="J236" s="439"/>
      <c r="K236" s="439"/>
      <c r="L236" s="439"/>
      <c r="M236" s="439"/>
      <c r="N236" s="439"/>
      <c r="O236" s="439"/>
      <c r="P236" s="439"/>
      <c r="Q236" s="439"/>
      <c r="R236" s="439"/>
      <c r="S236" s="439"/>
    </row>
    <row r="237" spans="1:19" ht="15" hidden="1">
      <c r="A237" s="438"/>
      <c r="B237" s="439"/>
      <c r="C237" s="439"/>
      <c r="D237" s="439"/>
      <c r="E237" s="439"/>
      <c r="F237" s="439"/>
      <c r="G237" s="439"/>
      <c r="H237" s="439"/>
      <c r="I237" s="439"/>
      <c r="J237" s="439"/>
      <c r="K237" s="439"/>
      <c r="L237" s="439"/>
      <c r="M237" s="439"/>
      <c r="N237" s="439"/>
      <c r="O237" s="439"/>
      <c r="P237" s="439"/>
      <c r="Q237" s="439"/>
      <c r="R237" s="439"/>
      <c r="S237" s="439"/>
    </row>
    <row r="238" spans="1:19" ht="15" hidden="1">
      <c r="A238" s="438"/>
      <c r="B238" s="439"/>
      <c r="C238" s="439"/>
      <c r="D238" s="439"/>
      <c r="E238" s="439"/>
      <c r="F238" s="439"/>
      <c r="G238" s="439"/>
      <c r="H238" s="439"/>
      <c r="I238" s="439"/>
      <c r="J238" s="439"/>
      <c r="K238" s="439"/>
      <c r="L238" s="439"/>
      <c r="M238" s="439"/>
      <c r="N238" s="439"/>
      <c r="O238" s="439"/>
      <c r="P238" s="439"/>
      <c r="Q238" s="439"/>
      <c r="R238" s="439"/>
      <c r="S238" s="439"/>
    </row>
    <row r="239" spans="1:19" ht="15" hidden="1">
      <c r="A239" s="438"/>
      <c r="B239" s="439"/>
      <c r="C239" s="439"/>
      <c r="D239" s="439"/>
      <c r="E239" s="439"/>
      <c r="F239" s="439"/>
      <c r="G239" s="439"/>
      <c r="H239" s="439"/>
      <c r="I239" s="439"/>
      <c r="J239" s="439"/>
      <c r="K239" s="439"/>
      <c r="L239" s="439"/>
      <c r="M239" s="439"/>
      <c r="N239" s="439"/>
      <c r="O239" s="439"/>
      <c r="P239" s="439"/>
      <c r="Q239" s="439"/>
      <c r="R239" s="439"/>
      <c r="S239" s="439"/>
    </row>
    <row r="240" spans="1:19" ht="15" hidden="1">
      <c r="A240" s="438"/>
      <c r="B240" s="439"/>
      <c r="C240" s="439"/>
      <c r="D240" s="439"/>
      <c r="E240" s="439"/>
      <c r="F240" s="439"/>
      <c r="G240" s="439"/>
      <c r="H240" s="439"/>
      <c r="I240" s="439"/>
      <c r="J240" s="439"/>
      <c r="K240" s="439"/>
      <c r="L240" s="439"/>
      <c r="M240" s="439"/>
      <c r="N240" s="439"/>
      <c r="O240" s="439"/>
      <c r="P240" s="439"/>
      <c r="Q240" s="439"/>
      <c r="R240" s="439"/>
      <c r="S240" s="439"/>
    </row>
    <row r="241" spans="1:19" ht="15" hidden="1">
      <c r="A241" s="438"/>
      <c r="B241" s="439"/>
      <c r="C241" s="439"/>
      <c r="D241" s="439"/>
      <c r="E241" s="439"/>
      <c r="F241" s="439"/>
      <c r="G241" s="439"/>
      <c r="H241" s="439"/>
      <c r="I241" s="439"/>
      <c r="J241" s="439"/>
      <c r="K241" s="439"/>
      <c r="L241" s="439"/>
      <c r="M241" s="439"/>
      <c r="N241" s="439"/>
      <c r="O241" s="439"/>
      <c r="P241" s="439"/>
      <c r="Q241" s="439"/>
      <c r="R241" s="439"/>
      <c r="S241" s="439"/>
    </row>
    <row r="242" spans="1:19" ht="15" hidden="1">
      <c r="A242" s="438"/>
      <c r="B242" s="439"/>
      <c r="C242" s="439"/>
      <c r="D242" s="439"/>
      <c r="E242" s="439"/>
      <c r="F242" s="439"/>
      <c r="G242" s="439"/>
      <c r="H242" s="439"/>
      <c r="I242" s="439"/>
      <c r="J242" s="439"/>
      <c r="K242" s="439"/>
      <c r="L242" s="439"/>
      <c r="M242" s="439"/>
      <c r="N242" s="439"/>
      <c r="O242" s="439"/>
      <c r="P242" s="439"/>
      <c r="Q242" s="439"/>
      <c r="R242" s="439"/>
      <c r="S242" s="439"/>
    </row>
    <row r="243" spans="1:19" ht="15" hidden="1">
      <c r="A243" s="438"/>
      <c r="B243" s="439"/>
      <c r="C243" s="439"/>
      <c r="D243" s="439"/>
      <c r="E243" s="439"/>
      <c r="F243" s="439"/>
      <c r="G243" s="439"/>
      <c r="H243" s="439"/>
      <c r="I243" s="439"/>
      <c r="J243" s="439"/>
      <c r="K243" s="439"/>
      <c r="L243" s="439"/>
      <c r="M243" s="439"/>
      <c r="N243" s="439"/>
      <c r="O243" s="439"/>
      <c r="P243" s="439"/>
      <c r="Q243" s="439"/>
      <c r="R243" s="439"/>
      <c r="S243" s="439"/>
    </row>
    <row r="244" spans="1:19" ht="15" hidden="1">
      <c r="A244" s="438"/>
      <c r="B244" s="439"/>
      <c r="C244" s="439"/>
      <c r="D244" s="439"/>
      <c r="E244" s="439"/>
      <c r="F244" s="439"/>
      <c r="G244" s="439"/>
      <c r="H244" s="439"/>
      <c r="I244" s="439"/>
      <c r="J244" s="439"/>
      <c r="K244" s="439"/>
      <c r="L244" s="439"/>
      <c r="M244" s="439"/>
      <c r="N244" s="439"/>
      <c r="O244" s="439"/>
      <c r="P244" s="439"/>
      <c r="Q244" s="439"/>
      <c r="R244" s="439"/>
      <c r="S244" s="439"/>
    </row>
    <row r="245" spans="1:19" ht="15" hidden="1">
      <c r="A245" s="438"/>
      <c r="B245" s="439"/>
      <c r="C245" s="439"/>
      <c r="D245" s="439"/>
      <c r="E245" s="439"/>
      <c r="F245" s="439"/>
      <c r="G245" s="439"/>
      <c r="H245" s="439"/>
      <c r="I245" s="439"/>
      <c r="J245" s="439"/>
      <c r="K245" s="439"/>
      <c r="L245" s="439"/>
      <c r="M245" s="439"/>
      <c r="N245" s="439"/>
      <c r="O245" s="439"/>
      <c r="P245" s="439"/>
      <c r="Q245" s="439"/>
      <c r="R245" s="439"/>
      <c r="S245" s="439"/>
    </row>
    <row r="246" spans="1:19" ht="15" hidden="1">
      <c r="A246" s="438"/>
      <c r="B246" s="439"/>
      <c r="C246" s="439"/>
      <c r="D246" s="439"/>
      <c r="E246" s="439"/>
      <c r="F246" s="439"/>
      <c r="G246" s="439"/>
      <c r="H246" s="439"/>
      <c r="I246" s="439"/>
      <c r="J246" s="439"/>
      <c r="K246" s="439"/>
      <c r="L246" s="439"/>
      <c r="M246" s="439"/>
      <c r="N246" s="439"/>
      <c r="O246" s="439"/>
      <c r="P246" s="439"/>
      <c r="Q246" s="439"/>
      <c r="R246" s="439"/>
      <c r="S246" s="439"/>
    </row>
    <row r="247" spans="1:19" ht="15" hidden="1">
      <c r="A247" s="438"/>
      <c r="B247" s="439"/>
      <c r="C247" s="439"/>
      <c r="D247" s="439"/>
      <c r="E247" s="439"/>
      <c r="F247" s="439"/>
      <c r="G247" s="439"/>
      <c r="H247" s="439"/>
      <c r="I247" s="439"/>
      <c r="J247" s="439"/>
      <c r="K247" s="439"/>
      <c r="L247" s="439"/>
      <c r="M247" s="439"/>
      <c r="N247" s="439"/>
      <c r="O247" s="439"/>
      <c r="P247" s="439"/>
      <c r="Q247" s="439"/>
      <c r="R247" s="439"/>
      <c r="S247" s="439"/>
    </row>
    <row r="248" spans="1:19" ht="15" hidden="1">
      <c r="A248" s="438"/>
      <c r="B248" s="439"/>
      <c r="C248" s="439"/>
      <c r="D248" s="439"/>
      <c r="E248" s="439"/>
      <c r="F248" s="439"/>
      <c r="G248" s="439"/>
      <c r="H248" s="439"/>
      <c r="I248" s="439"/>
      <c r="J248" s="439"/>
      <c r="K248" s="439"/>
      <c r="L248" s="439"/>
      <c r="M248" s="439"/>
      <c r="N248" s="439"/>
      <c r="O248" s="439"/>
      <c r="P248" s="439"/>
      <c r="Q248" s="439"/>
      <c r="R248" s="439"/>
      <c r="S248" s="439"/>
    </row>
    <row r="249" spans="1:19" ht="15" hidden="1">
      <c r="A249" s="438"/>
      <c r="B249" s="439"/>
      <c r="C249" s="439"/>
      <c r="D249" s="439"/>
      <c r="E249" s="439"/>
      <c r="F249" s="439"/>
      <c r="G249" s="439"/>
      <c r="H249" s="439"/>
      <c r="I249" s="439"/>
      <c r="J249" s="439"/>
      <c r="K249" s="439"/>
      <c r="L249" s="439"/>
      <c r="M249" s="439"/>
      <c r="N249" s="439"/>
      <c r="O249" s="439"/>
      <c r="P249" s="439"/>
      <c r="Q249" s="439"/>
      <c r="R249" s="439"/>
      <c r="S249" s="439"/>
    </row>
    <row r="250" spans="1:19" ht="15" hidden="1">
      <c r="A250" s="438"/>
      <c r="B250" s="439"/>
      <c r="C250" s="439"/>
      <c r="D250" s="439"/>
      <c r="E250" s="439"/>
      <c r="F250" s="439"/>
      <c r="G250" s="439"/>
      <c r="H250" s="439"/>
      <c r="I250" s="439"/>
      <c r="J250" s="439"/>
      <c r="K250" s="439"/>
      <c r="L250" s="439"/>
      <c r="M250" s="439"/>
      <c r="N250" s="439"/>
      <c r="O250" s="439"/>
      <c r="P250" s="439"/>
      <c r="Q250" s="439"/>
      <c r="R250" s="439"/>
      <c r="S250" s="439"/>
    </row>
    <row r="251" spans="1:19" ht="15" hidden="1">
      <c r="A251" s="438"/>
      <c r="B251" s="439"/>
      <c r="C251" s="439"/>
      <c r="D251" s="439"/>
      <c r="E251" s="439"/>
      <c r="F251" s="439"/>
      <c r="G251" s="439"/>
      <c r="H251" s="439"/>
      <c r="I251" s="439"/>
      <c r="J251" s="439"/>
      <c r="K251" s="439"/>
      <c r="L251" s="439"/>
      <c r="M251" s="439"/>
      <c r="N251" s="439"/>
      <c r="O251" s="439"/>
      <c r="P251" s="439"/>
      <c r="Q251" s="439"/>
      <c r="R251" s="439"/>
      <c r="S251" s="439"/>
    </row>
    <row r="252" spans="1:19" ht="15" hidden="1">
      <c r="A252" s="438"/>
      <c r="B252" s="439"/>
      <c r="C252" s="439"/>
      <c r="D252" s="439"/>
      <c r="E252" s="439"/>
      <c r="F252" s="439"/>
      <c r="G252" s="439"/>
      <c r="H252" s="439"/>
      <c r="I252" s="439"/>
      <c r="J252" s="439"/>
      <c r="K252" s="439"/>
      <c r="L252" s="439"/>
      <c r="M252" s="439"/>
      <c r="N252" s="439"/>
      <c r="O252" s="439"/>
      <c r="P252" s="439"/>
      <c r="Q252" s="439"/>
      <c r="R252" s="439"/>
      <c r="S252" s="439"/>
    </row>
    <row r="253" spans="1:19" ht="15" hidden="1">
      <c r="A253" s="438"/>
      <c r="B253" s="439"/>
      <c r="C253" s="439"/>
      <c r="D253" s="439"/>
      <c r="E253" s="439"/>
      <c r="F253" s="439"/>
      <c r="G253" s="439"/>
      <c r="H253" s="439"/>
      <c r="I253" s="439"/>
      <c r="J253" s="439"/>
      <c r="K253" s="439"/>
      <c r="L253" s="439"/>
      <c r="M253" s="439"/>
      <c r="N253" s="439"/>
      <c r="O253" s="439"/>
      <c r="P253" s="439"/>
      <c r="Q253" s="439"/>
      <c r="R253" s="439"/>
      <c r="S253" s="439"/>
    </row>
    <row r="254" spans="1:19" ht="15" hidden="1">
      <c r="A254" s="438"/>
      <c r="B254" s="439"/>
      <c r="C254" s="439"/>
      <c r="D254" s="439"/>
      <c r="E254" s="439"/>
      <c r="F254" s="439"/>
      <c r="G254" s="439"/>
      <c r="H254" s="439"/>
      <c r="I254" s="439"/>
      <c r="J254" s="439"/>
      <c r="K254" s="439"/>
      <c r="L254" s="439"/>
      <c r="M254" s="439"/>
      <c r="N254" s="439"/>
      <c r="O254" s="439"/>
      <c r="P254" s="439"/>
      <c r="Q254" s="439"/>
      <c r="R254" s="439"/>
      <c r="S254" s="439"/>
    </row>
    <row r="255" spans="1:19" ht="15" hidden="1">
      <c r="A255" s="438"/>
      <c r="B255" s="439"/>
      <c r="C255" s="439"/>
      <c r="D255" s="439"/>
      <c r="E255" s="439"/>
      <c r="F255" s="439"/>
      <c r="G255" s="439"/>
      <c r="H255" s="439"/>
      <c r="I255" s="439"/>
      <c r="J255" s="439"/>
      <c r="K255" s="439"/>
      <c r="L255" s="439"/>
      <c r="M255" s="439"/>
      <c r="N255" s="439"/>
      <c r="O255" s="439"/>
      <c r="P255" s="439"/>
      <c r="Q255" s="439"/>
      <c r="R255" s="439"/>
      <c r="S255" s="439"/>
    </row>
    <row r="256" spans="1:19" ht="15" hidden="1">
      <c r="A256" s="438"/>
      <c r="B256" s="439"/>
      <c r="C256" s="439"/>
      <c r="D256" s="439"/>
      <c r="E256" s="439"/>
      <c r="F256" s="439"/>
      <c r="G256" s="439"/>
      <c r="H256" s="439"/>
      <c r="I256" s="439"/>
      <c r="J256" s="439"/>
      <c r="K256" s="439"/>
      <c r="L256" s="439"/>
      <c r="M256" s="439"/>
      <c r="N256" s="439"/>
      <c r="O256" s="439"/>
      <c r="P256" s="439"/>
      <c r="Q256" s="439"/>
      <c r="R256" s="439"/>
      <c r="S256" s="439"/>
    </row>
    <row r="257" spans="1:19" ht="15" hidden="1">
      <c r="A257" s="438"/>
      <c r="B257" s="439"/>
      <c r="C257" s="439"/>
      <c r="D257" s="439"/>
      <c r="E257" s="439"/>
      <c r="F257" s="439"/>
      <c r="G257" s="439"/>
      <c r="H257" s="439"/>
      <c r="I257" s="439"/>
      <c r="J257" s="439"/>
      <c r="K257" s="439"/>
      <c r="L257" s="439"/>
      <c r="M257" s="439"/>
      <c r="N257" s="439"/>
      <c r="O257" s="439"/>
      <c r="P257" s="439"/>
      <c r="Q257" s="439"/>
      <c r="R257" s="439"/>
      <c r="S257" s="439"/>
    </row>
    <row r="258" spans="1:19" ht="15" hidden="1">
      <c r="A258" s="438"/>
      <c r="B258" s="439"/>
      <c r="C258" s="439"/>
      <c r="D258" s="439"/>
      <c r="E258" s="439"/>
      <c r="F258" s="439"/>
      <c r="G258" s="439"/>
      <c r="H258" s="439"/>
      <c r="I258" s="439"/>
      <c r="J258" s="439"/>
      <c r="K258" s="439"/>
      <c r="L258" s="439"/>
      <c r="M258" s="439"/>
      <c r="N258" s="439"/>
      <c r="O258" s="439"/>
      <c r="P258" s="439"/>
      <c r="Q258" s="439"/>
      <c r="R258" s="439"/>
      <c r="S258" s="439"/>
    </row>
    <row r="259" spans="1:19" ht="15" hidden="1">
      <c r="A259" s="438"/>
      <c r="B259" s="439"/>
      <c r="C259" s="439"/>
      <c r="D259" s="439"/>
      <c r="E259" s="439"/>
      <c r="F259" s="439"/>
      <c r="G259" s="439"/>
      <c r="H259" s="439"/>
      <c r="I259" s="439"/>
      <c r="J259" s="439"/>
      <c r="K259" s="439"/>
      <c r="L259" s="439"/>
      <c r="M259" s="439"/>
      <c r="N259" s="439"/>
      <c r="O259" s="439"/>
      <c r="P259" s="439"/>
      <c r="Q259" s="439"/>
      <c r="R259" s="439"/>
      <c r="S259" s="439"/>
    </row>
    <row r="260" spans="1:19" ht="15" hidden="1">
      <c r="A260" s="438"/>
      <c r="B260" s="439"/>
      <c r="C260" s="439"/>
      <c r="D260" s="439"/>
      <c r="E260" s="439"/>
      <c r="F260" s="439"/>
      <c r="G260" s="439"/>
      <c r="H260" s="439"/>
      <c r="I260" s="439"/>
      <c r="J260" s="439"/>
      <c r="K260" s="439"/>
      <c r="L260" s="439"/>
      <c r="M260" s="439"/>
      <c r="N260" s="439"/>
      <c r="O260" s="439"/>
      <c r="P260" s="439"/>
      <c r="Q260" s="439"/>
      <c r="R260" s="439"/>
      <c r="S260" s="439"/>
    </row>
    <row r="261" spans="1:19" ht="15" hidden="1">
      <c r="A261" s="438"/>
      <c r="B261" s="439"/>
      <c r="C261" s="439"/>
      <c r="D261" s="439"/>
      <c r="E261" s="439"/>
      <c r="F261" s="439"/>
      <c r="G261" s="439"/>
      <c r="H261" s="439"/>
      <c r="I261" s="439"/>
      <c r="J261" s="439"/>
      <c r="K261" s="439"/>
      <c r="L261" s="439"/>
      <c r="M261" s="439"/>
      <c r="N261" s="439"/>
      <c r="O261" s="439"/>
      <c r="P261" s="439"/>
      <c r="Q261" s="439"/>
      <c r="R261" s="439"/>
      <c r="S261" s="439"/>
    </row>
    <row r="262" spans="1:19" ht="15" hidden="1">
      <c r="A262" s="438"/>
      <c r="B262" s="439"/>
      <c r="C262" s="439"/>
      <c r="D262" s="439"/>
      <c r="E262" s="439"/>
      <c r="F262" s="439"/>
      <c r="G262" s="439"/>
      <c r="H262" s="439"/>
      <c r="I262" s="439"/>
      <c r="J262" s="439"/>
      <c r="K262" s="439"/>
      <c r="L262" s="439"/>
      <c r="M262" s="439"/>
      <c r="N262" s="439"/>
      <c r="O262" s="439"/>
      <c r="P262" s="439"/>
      <c r="Q262" s="439"/>
      <c r="R262" s="439"/>
      <c r="S262" s="439"/>
    </row>
    <row r="263" spans="1:19" ht="15" hidden="1">
      <c r="A263" s="438"/>
      <c r="B263" s="439"/>
      <c r="C263" s="439"/>
      <c r="D263" s="439"/>
      <c r="E263" s="439"/>
      <c r="F263" s="439"/>
      <c r="G263" s="439"/>
      <c r="H263" s="439"/>
      <c r="I263" s="439"/>
      <c r="J263" s="439"/>
      <c r="K263" s="439"/>
      <c r="L263" s="439"/>
      <c r="M263" s="439"/>
      <c r="N263" s="439"/>
      <c r="O263" s="439"/>
      <c r="P263" s="439"/>
      <c r="Q263" s="439"/>
      <c r="R263" s="439"/>
      <c r="S263" s="439"/>
    </row>
    <row r="264" spans="1:19" ht="15" hidden="1">
      <c r="A264" s="438"/>
      <c r="B264" s="439"/>
      <c r="C264" s="439"/>
      <c r="D264" s="439"/>
      <c r="E264" s="439"/>
      <c r="F264" s="439"/>
      <c r="G264" s="439"/>
      <c r="H264" s="439"/>
      <c r="I264" s="439"/>
      <c r="J264" s="439"/>
      <c r="K264" s="439"/>
      <c r="L264" s="439"/>
      <c r="M264" s="439"/>
      <c r="N264" s="439"/>
      <c r="O264" s="439"/>
      <c r="P264" s="439"/>
      <c r="Q264" s="439"/>
      <c r="R264" s="439"/>
      <c r="S264" s="439"/>
    </row>
    <row r="265" spans="1:19" ht="15" hidden="1">
      <c r="A265" s="438"/>
      <c r="B265" s="439"/>
      <c r="C265" s="439"/>
      <c r="D265" s="439"/>
      <c r="E265" s="439"/>
      <c r="F265" s="439"/>
      <c r="G265" s="439"/>
      <c r="H265" s="439"/>
      <c r="I265" s="439"/>
      <c r="J265" s="439"/>
      <c r="K265" s="439"/>
      <c r="L265" s="439"/>
      <c r="M265" s="439"/>
      <c r="N265" s="439"/>
      <c r="O265" s="439"/>
      <c r="P265" s="439"/>
      <c r="Q265" s="439"/>
      <c r="R265" s="439"/>
      <c r="S265" s="439"/>
    </row>
    <row r="266" spans="1:19" ht="15" hidden="1">
      <c r="A266" s="438"/>
      <c r="B266" s="439"/>
      <c r="C266" s="439"/>
      <c r="D266" s="439"/>
      <c r="E266" s="439"/>
      <c r="F266" s="439"/>
      <c r="G266" s="439"/>
      <c r="H266" s="439"/>
      <c r="I266" s="439"/>
      <c r="J266" s="439"/>
      <c r="K266" s="439"/>
      <c r="L266" s="439"/>
      <c r="M266" s="439"/>
      <c r="N266" s="439"/>
      <c r="O266" s="439"/>
      <c r="P266" s="439"/>
      <c r="Q266" s="439"/>
      <c r="R266" s="439"/>
      <c r="S266" s="439"/>
    </row>
    <row r="267" spans="1:19" ht="15" hidden="1">
      <c r="A267" s="438"/>
      <c r="B267" s="439"/>
      <c r="C267" s="439"/>
      <c r="D267" s="439"/>
      <c r="E267" s="439"/>
      <c r="F267" s="439"/>
      <c r="G267" s="439"/>
      <c r="H267" s="439"/>
      <c r="I267" s="439"/>
      <c r="J267" s="439"/>
      <c r="K267" s="439"/>
      <c r="L267" s="439"/>
      <c r="M267" s="439"/>
      <c r="N267" s="439"/>
      <c r="O267" s="439"/>
      <c r="P267" s="439"/>
      <c r="Q267" s="439"/>
      <c r="R267" s="439"/>
      <c r="S267" s="439"/>
    </row>
    <row r="268" spans="1:19" ht="15" hidden="1">
      <c r="A268" s="438"/>
      <c r="B268" s="439"/>
      <c r="C268" s="439"/>
      <c r="D268" s="439"/>
      <c r="E268" s="439"/>
      <c r="F268" s="439"/>
      <c r="G268" s="439"/>
      <c r="H268" s="439"/>
      <c r="I268" s="439"/>
      <c r="J268" s="439"/>
      <c r="K268" s="439"/>
      <c r="L268" s="439"/>
      <c r="M268" s="439"/>
      <c r="N268" s="439"/>
      <c r="O268" s="439"/>
      <c r="P268" s="439"/>
      <c r="Q268" s="439"/>
      <c r="R268" s="439"/>
      <c r="S268" s="439"/>
    </row>
    <row r="269" spans="1:19" ht="15" hidden="1">
      <c r="A269" s="438"/>
      <c r="B269" s="439"/>
      <c r="C269" s="439"/>
      <c r="D269" s="439"/>
      <c r="E269" s="439"/>
      <c r="F269" s="439"/>
      <c r="G269" s="439"/>
      <c r="H269" s="439"/>
      <c r="I269" s="439"/>
      <c r="J269" s="439"/>
      <c r="K269" s="439"/>
      <c r="L269" s="439"/>
      <c r="M269" s="439"/>
      <c r="N269" s="439"/>
      <c r="O269" s="439"/>
      <c r="P269" s="439"/>
      <c r="Q269" s="439"/>
      <c r="R269" s="439"/>
      <c r="S269" s="439"/>
    </row>
    <row r="270" spans="1:19" ht="15" hidden="1">
      <c r="A270" s="438"/>
      <c r="B270" s="439"/>
      <c r="C270" s="439"/>
      <c r="D270" s="439"/>
      <c r="E270" s="439"/>
      <c r="F270" s="439"/>
      <c r="G270" s="439"/>
      <c r="H270" s="439"/>
      <c r="I270" s="439"/>
      <c r="J270" s="439"/>
      <c r="K270" s="439"/>
      <c r="L270" s="439"/>
      <c r="M270" s="439"/>
      <c r="N270" s="439"/>
      <c r="O270" s="439"/>
      <c r="P270" s="439"/>
      <c r="Q270" s="439"/>
      <c r="R270" s="439"/>
      <c r="S270" s="439"/>
    </row>
    <row r="271" spans="1:19" ht="15" hidden="1">
      <c r="A271" s="438"/>
      <c r="B271" s="439"/>
      <c r="C271" s="439"/>
      <c r="D271" s="439"/>
      <c r="E271" s="439"/>
      <c r="F271" s="439"/>
      <c r="G271" s="439"/>
      <c r="H271" s="439"/>
      <c r="I271" s="439"/>
      <c r="J271" s="439"/>
      <c r="K271" s="439"/>
      <c r="L271" s="439"/>
      <c r="M271" s="439"/>
      <c r="N271" s="439"/>
      <c r="O271" s="439"/>
      <c r="P271" s="439"/>
      <c r="Q271" s="439"/>
      <c r="R271" s="439"/>
      <c r="S271" s="439"/>
    </row>
    <row r="272" spans="1:19" ht="15" hidden="1">
      <c r="A272" s="438"/>
      <c r="B272" s="439"/>
      <c r="C272" s="439"/>
      <c r="D272" s="439"/>
      <c r="E272" s="439"/>
      <c r="F272" s="439"/>
      <c r="G272" s="439"/>
      <c r="H272" s="439"/>
      <c r="I272" s="439"/>
      <c r="J272" s="439"/>
      <c r="K272" s="439"/>
      <c r="L272" s="439"/>
      <c r="M272" s="439"/>
      <c r="N272" s="439"/>
      <c r="O272" s="439"/>
      <c r="P272" s="439"/>
      <c r="Q272" s="439"/>
      <c r="R272" s="439"/>
      <c r="S272" s="439"/>
    </row>
    <row r="273" spans="1:19" ht="15" hidden="1">
      <c r="A273" s="438"/>
      <c r="B273" s="439"/>
      <c r="C273" s="439"/>
      <c r="D273" s="439"/>
      <c r="E273" s="439"/>
      <c r="F273" s="439"/>
      <c r="G273" s="439"/>
      <c r="H273" s="439"/>
      <c r="I273" s="439"/>
      <c r="J273" s="439"/>
      <c r="K273" s="439"/>
      <c r="L273" s="439"/>
      <c r="M273" s="439"/>
      <c r="N273" s="439"/>
      <c r="O273" s="439"/>
      <c r="P273" s="439"/>
      <c r="Q273" s="439"/>
      <c r="R273" s="439"/>
      <c r="S273" s="439"/>
    </row>
    <row r="274" spans="1:19" ht="15" hidden="1">
      <c r="A274" s="438"/>
      <c r="B274" s="439"/>
      <c r="C274" s="439"/>
      <c r="D274" s="439"/>
      <c r="E274" s="439"/>
      <c r="F274" s="439"/>
      <c r="G274" s="439"/>
      <c r="H274" s="439"/>
      <c r="I274" s="439"/>
      <c r="J274" s="439"/>
      <c r="K274" s="439"/>
      <c r="L274" s="439"/>
      <c r="M274" s="439"/>
      <c r="N274" s="439"/>
      <c r="O274" s="439"/>
      <c r="P274" s="439"/>
      <c r="Q274" s="439"/>
      <c r="R274" s="439"/>
      <c r="S274" s="439"/>
    </row>
    <row r="275" spans="1:19" ht="15" hidden="1">
      <c r="A275" s="438"/>
      <c r="B275" s="439"/>
      <c r="C275" s="439"/>
      <c r="D275" s="439"/>
      <c r="E275" s="439"/>
      <c r="F275" s="439"/>
      <c r="G275" s="439"/>
      <c r="H275" s="439"/>
      <c r="I275" s="439"/>
      <c r="J275" s="439"/>
      <c r="K275" s="439"/>
      <c r="L275" s="439"/>
      <c r="M275" s="439"/>
      <c r="N275" s="439"/>
      <c r="O275" s="439"/>
      <c r="P275" s="439"/>
      <c r="Q275" s="439"/>
      <c r="R275" s="439"/>
      <c r="S275" s="439"/>
    </row>
    <row r="276" spans="1:19" ht="15.75" hidden="1" thickBot="1">
      <c r="A276" s="440"/>
      <c r="B276" s="441"/>
      <c r="C276" s="441"/>
      <c r="D276" s="441"/>
      <c r="E276" s="441"/>
      <c r="F276" s="441"/>
      <c r="G276" s="441"/>
      <c r="H276" s="441"/>
      <c r="I276" s="441"/>
      <c r="J276" s="441"/>
      <c r="K276" s="441"/>
      <c r="L276" s="441"/>
      <c r="M276" s="441"/>
      <c r="N276" s="441"/>
      <c r="O276" s="441"/>
      <c r="P276" s="441"/>
      <c r="Q276" s="441"/>
      <c r="R276" s="441"/>
      <c r="S276" s="441"/>
    </row>
  </sheetData>
  <sheetProtection password="A300" sheet="1" objects="1" scenarios="1" selectLockedCells="1"/>
  <mergeCells count="65">
    <mergeCell ref="C60:E60"/>
    <mergeCell ref="C59:E59"/>
    <mergeCell ref="B54:E54"/>
    <mergeCell ref="C57:E57"/>
    <mergeCell ref="C61:E61"/>
    <mergeCell ref="C12:E12"/>
    <mergeCell ref="L6:N7"/>
    <mergeCell ref="C13:E13"/>
    <mergeCell ref="C6:E7"/>
    <mergeCell ref="C32:E32"/>
    <mergeCell ref="C40:E40"/>
    <mergeCell ref="C33:E33"/>
    <mergeCell ref="C37:E37"/>
    <mergeCell ref="C36:E36"/>
    <mergeCell ref="C34:E34"/>
    <mergeCell ref="A1:D1"/>
    <mergeCell ref="E1:R1"/>
    <mergeCell ref="F6:J7"/>
    <mergeCell ref="C24:E24"/>
    <mergeCell ref="B8:E8"/>
    <mergeCell ref="C16:E16"/>
    <mergeCell ref="A9:A20"/>
    <mergeCell ref="C9:E9"/>
    <mergeCell ref="C15:E15"/>
    <mergeCell ref="B6:B7"/>
    <mergeCell ref="A55:A66"/>
    <mergeCell ref="F52:J53"/>
    <mergeCell ref="C50:E50"/>
    <mergeCell ref="C44:E44"/>
    <mergeCell ref="L52:N53"/>
    <mergeCell ref="F29:J30"/>
    <mergeCell ref="C47:E47"/>
    <mergeCell ref="C42:E42"/>
    <mergeCell ref="C62:E62"/>
    <mergeCell ref="C58:E58"/>
    <mergeCell ref="C43:E43"/>
    <mergeCell ref="A32:A43"/>
    <mergeCell ref="C10:E10"/>
    <mergeCell ref="C14:E14"/>
    <mergeCell ref="A88:S276"/>
    <mergeCell ref="C56:E56"/>
    <mergeCell ref="C63:E63"/>
    <mergeCell ref="C65:E65"/>
    <mergeCell ref="C69:E69"/>
    <mergeCell ref="C67:E67"/>
    <mergeCell ref="C70:E70"/>
    <mergeCell ref="C55:E55"/>
    <mergeCell ref="C66:E66"/>
    <mergeCell ref="B3:N3"/>
    <mergeCell ref="C11:E11"/>
    <mergeCell ref="C35:E35"/>
    <mergeCell ref="C21:E21"/>
    <mergeCell ref="C23:E23"/>
    <mergeCell ref="C19:E19"/>
    <mergeCell ref="B31:E31"/>
    <mergeCell ref="B29:B30"/>
    <mergeCell ref="C29:E30"/>
    <mergeCell ref="C20:E20"/>
    <mergeCell ref="C17:E17"/>
    <mergeCell ref="L29:N30"/>
    <mergeCell ref="C52:E53"/>
    <mergeCell ref="C46:E46"/>
    <mergeCell ref="B52:B53"/>
    <mergeCell ref="C38:E38"/>
    <mergeCell ref="C39:E39"/>
  </mergeCells>
  <dataValidations count="3">
    <dataValidation type="list" allowBlank="1" showInputMessage="1" showErrorMessage="1" prompt="Select the required service." sqref="C44 C21 C67">
      <formula1>All_Service_Types</formula1>
    </dataValidation>
    <dataValidation type="list" allowBlank="1" showInputMessage="1" showErrorMessage="1" promptTitle="Cement type" prompt="Select the type of cement used in your mix design. " sqref="C34 C11 C57">
      <formula1>ManufacturedCementTypes</formula1>
    </dataValidation>
    <dataValidation allowBlank="1" showErrorMessage="1" promptTitle="Units" prompt="Choose the units for the aggregate input here." sqref="G33 G10 G56"/>
  </dataValidations>
  <printOptions horizontalCentered="1"/>
  <pageMargins left="0.31496062992125984" right="0.3937007874015748" top="0.35433070866141736" bottom="0.5118110236220472" header="0" footer="0.2755905511811024"/>
  <pageSetup fitToHeight="1" fitToWidth="1" orientation="portrait" paperSize="9" scale="45" r:id="rId5"/>
  <headerFooter alignWithMargins="0">
    <oddFooter>&amp;L&amp;"Calibri,Regular"&amp;8Confidential&amp;R&amp;"Calibri,Regular"&amp;8Designed by  &amp;"Arial,Regular"&amp;10&amp;G</oddFooter>
  </headerFooter>
  <rowBreaks count="1" manualBreakCount="1">
    <brk id="71" max="17" man="1"/>
  </rowBreaks>
  <colBreaks count="1" manualBreakCount="1">
    <brk id="10" max="65535" man="1"/>
  </colBreaks>
  <drawing r:id="rId3"/>
  <legacyDrawing r:id="rId2"/>
  <legacyDrawingHF r:id="rId4"/>
</worksheet>
</file>

<file path=xl/worksheets/sheet4.xml><?xml version="1.0" encoding="utf-8"?>
<worksheet xmlns="http://schemas.openxmlformats.org/spreadsheetml/2006/main" xmlns:r="http://schemas.openxmlformats.org/officeDocument/2006/relationships">
  <dimension ref="A1:J9"/>
  <sheetViews>
    <sheetView zoomScalePageLayoutView="0" workbookViewId="0" topLeftCell="A1">
      <selection activeCell="A1" sqref="A1:J1"/>
    </sheetView>
  </sheetViews>
  <sheetFormatPr defaultColWidth="0" defaultRowHeight="12.75" customHeight="1" zeroHeight="1"/>
  <cols>
    <col min="1" max="1" width="8.8515625" style="199" customWidth="1"/>
    <col min="2" max="3" width="8.8515625" style="198" customWidth="1"/>
    <col min="4" max="10" width="8.8515625" style="199" customWidth="1"/>
    <col min="11" max="11" width="0.71875" style="199" customWidth="1"/>
    <col min="12" max="16384" width="9.140625" style="199" hidden="1" customWidth="1"/>
  </cols>
  <sheetData>
    <row r="1" spans="1:10" s="85" customFormat="1" ht="36.75" customHeight="1" thickBot="1">
      <c r="A1" s="386" t="s">
        <v>112</v>
      </c>
      <c r="B1" s="387"/>
      <c r="C1" s="387"/>
      <c r="D1" s="387"/>
      <c r="E1" s="387"/>
      <c r="F1" s="387"/>
      <c r="G1" s="387"/>
      <c r="H1" s="387"/>
      <c r="I1" s="387"/>
      <c r="J1" s="388"/>
    </row>
    <row r="2" spans="1:10" ht="12.75" customHeight="1">
      <c r="A2" s="385"/>
      <c r="B2" s="385"/>
      <c r="C2" s="385"/>
      <c r="D2" s="385"/>
      <c r="E2" s="385"/>
      <c r="F2" s="385"/>
      <c r="G2" s="385"/>
      <c r="H2" s="385"/>
      <c r="I2" s="385"/>
      <c r="J2" s="385"/>
    </row>
    <row r="3" spans="1:10" s="200" customFormat="1" ht="30" customHeight="1">
      <c r="A3" s="389" t="s">
        <v>114</v>
      </c>
      <c r="B3" s="389"/>
      <c r="C3" s="389"/>
      <c r="D3" s="389"/>
      <c r="E3" s="389"/>
      <c r="F3" s="389"/>
      <c r="G3" s="389"/>
      <c r="H3" s="389"/>
      <c r="I3" s="389"/>
      <c r="J3" s="389"/>
    </row>
    <row r="4" spans="1:10" s="200" customFormat="1" ht="30" customHeight="1">
      <c r="A4" s="384" t="s">
        <v>113</v>
      </c>
      <c r="B4" s="384"/>
      <c r="C4" s="384"/>
      <c r="D4" s="384"/>
      <c r="E4" s="384"/>
      <c r="F4" s="384"/>
      <c r="G4" s="384"/>
      <c r="H4" s="384"/>
      <c r="I4" s="384"/>
      <c r="J4" s="384"/>
    </row>
    <row r="5" spans="1:10" s="200" customFormat="1" ht="30" customHeight="1">
      <c r="A5" s="384" t="s">
        <v>115</v>
      </c>
      <c r="B5" s="384"/>
      <c r="C5" s="384"/>
      <c r="D5" s="384"/>
      <c r="E5" s="384"/>
      <c r="F5" s="384"/>
      <c r="G5" s="384"/>
      <c r="H5" s="384"/>
      <c r="I5" s="384"/>
      <c r="J5" s="384"/>
    </row>
    <row r="6" spans="1:10" s="200" customFormat="1" ht="30" customHeight="1">
      <c r="A6" s="384" t="s">
        <v>116</v>
      </c>
      <c r="B6" s="384"/>
      <c r="C6" s="384"/>
      <c r="D6" s="384"/>
      <c r="E6" s="384"/>
      <c r="F6" s="384"/>
      <c r="G6" s="384"/>
      <c r="H6" s="384"/>
      <c r="I6" s="384"/>
      <c r="J6" s="384"/>
    </row>
    <row r="7" spans="1:10" s="200" customFormat="1" ht="30" customHeight="1">
      <c r="A7" s="384" t="s">
        <v>117</v>
      </c>
      <c r="B7" s="384"/>
      <c r="C7" s="384"/>
      <c r="D7" s="384"/>
      <c r="E7" s="384"/>
      <c r="F7" s="384"/>
      <c r="G7" s="384"/>
      <c r="H7" s="384"/>
      <c r="I7" s="384"/>
      <c r="J7" s="384"/>
    </row>
    <row r="8" spans="1:10" s="200" customFormat="1" ht="56.25" customHeight="1">
      <c r="A8" s="384" t="s">
        <v>118</v>
      </c>
      <c r="B8" s="384"/>
      <c r="C8" s="384"/>
      <c r="D8" s="384"/>
      <c r="E8" s="384"/>
      <c r="F8" s="384"/>
      <c r="G8" s="384"/>
      <c r="H8" s="384"/>
      <c r="I8" s="384"/>
      <c r="J8" s="384"/>
    </row>
    <row r="9" spans="1:10" ht="30.75" customHeight="1">
      <c r="A9" s="389" t="s">
        <v>119</v>
      </c>
      <c r="B9" s="389"/>
      <c r="C9" s="389"/>
      <c r="D9" s="389"/>
      <c r="E9" s="389"/>
      <c r="F9" s="389"/>
      <c r="G9" s="389"/>
      <c r="H9" s="389"/>
      <c r="I9" s="389"/>
      <c r="J9" s="389"/>
    </row>
    <row r="10" ht="5.25" customHeight="1"/>
  </sheetData>
  <sheetProtection password="A300" sheet="1" objects="1" scenarios="1" selectLockedCells="1"/>
  <mergeCells count="9">
    <mergeCell ref="A5:J5"/>
    <mergeCell ref="A8:J8"/>
    <mergeCell ref="A9:J9"/>
    <mergeCell ref="A1:J1"/>
    <mergeCell ref="A2:J2"/>
    <mergeCell ref="A3:J3"/>
    <mergeCell ref="A4:J4"/>
    <mergeCell ref="A6:J6"/>
    <mergeCell ref="A7:J7"/>
  </mergeCells>
  <printOptions/>
  <pageMargins left="0.7086614173228347" right="0.7086614173228347" top="0.7480314960629921" bottom="0.7480314960629921" header="0.31496062992125984" footer="0.31496062992125984"/>
  <pageSetup horizontalDpi="300" verticalDpi="300" orientation="portrait" paperSize="9" r:id="rId3"/>
  <headerFooter>
    <oddFooter>&amp;L&amp;"Calibri,Regular"&amp;8Confidential&amp;R&amp;"Calibri,Regular"&amp;8Designed by &amp;"Arial,Regular"&amp;10&amp;G</oddFooter>
  </headerFooter>
  <drawing r:id="rId1"/>
  <legacyDrawingHF r:id="rId2"/>
</worksheet>
</file>

<file path=xl/worksheets/sheet5.xml><?xml version="1.0" encoding="utf-8"?>
<worksheet xmlns="http://schemas.openxmlformats.org/spreadsheetml/2006/main" xmlns:r="http://schemas.openxmlformats.org/officeDocument/2006/relationships">
  <sheetPr>
    <pageSetUpPr fitToPage="1"/>
  </sheetPr>
  <dimension ref="A1:S264"/>
  <sheetViews>
    <sheetView showRowColHeaders="0" zoomScale="80" zoomScaleNormal="80" zoomScaleSheetLayoutView="85" zoomScalePageLayoutView="0" workbookViewId="0" topLeftCell="A1">
      <selection activeCell="C6" sqref="C6:E7"/>
    </sheetView>
  </sheetViews>
  <sheetFormatPr defaultColWidth="0" defaultRowHeight="12.75" zeroHeight="1" outlineLevelRow="1"/>
  <cols>
    <col min="1" max="1" width="12.57421875" style="4" bestFit="1" customWidth="1"/>
    <col min="2" max="2" width="21.28125" style="4" bestFit="1" customWidth="1"/>
    <col min="3" max="3" width="14.8515625" style="4" customWidth="1"/>
    <col min="4" max="4" width="6.00390625" style="4" customWidth="1"/>
    <col min="5" max="5" width="21.7109375" style="6" customWidth="1"/>
    <col min="6" max="6" width="8.7109375" style="4" bestFit="1" customWidth="1"/>
    <col min="7" max="7" width="17.140625" style="6" bestFit="1" customWidth="1"/>
    <col min="8" max="8" width="8.57421875" style="99" customWidth="1"/>
    <col min="9" max="9" width="7.28125" style="6" customWidth="1"/>
    <col min="10" max="10" width="8.421875" style="86" customWidth="1"/>
    <col min="11" max="11" width="2.57421875" style="4" customWidth="1"/>
    <col min="12" max="12" width="7.7109375" style="4" bestFit="1" customWidth="1"/>
    <col min="13" max="13" width="7.8515625" style="4" bestFit="1" customWidth="1"/>
    <col min="14" max="14" width="12.8515625" style="4" bestFit="1" customWidth="1"/>
    <col min="15" max="15" width="2.00390625" style="4" customWidth="1"/>
    <col min="16" max="16" width="6.140625" style="4" customWidth="1"/>
    <col min="17" max="17" width="26.7109375" style="4" customWidth="1"/>
    <col min="18" max="18" width="22.57421875" style="4" customWidth="1"/>
    <col min="19" max="19" width="1.28515625" style="4" customWidth="1"/>
    <col min="20" max="16384" width="0" style="5" hidden="1" customWidth="1"/>
  </cols>
  <sheetData>
    <row r="1" spans="1:19" s="85" customFormat="1" ht="60.75" customHeight="1" thickBot="1">
      <c r="A1" s="473"/>
      <c r="B1" s="474"/>
      <c r="C1" s="474"/>
      <c r="D1" s="474"/>
      <c r="E1" s="449" t="s">
        <v>70</v>
      </c>
      <c r="F1" s="449"/>
      <c r="G1" s="449"/>
      <c r="H1" s="449"/>
      <c r="I1" s="449"/>
      <c r="J1" s="449"/>
      <c r="K1" s="449"/>
      <c r="L1" s="449"/>
      <c r="M1" s="449"/>
      <c r="N1" s="449"/>
      <c r="O1" s="449"/>
      <c r="P1" s="449"/>
      <c r="Q1" s="449"/>
      <c r="R1" s="450"/>
      <c r="S1" s="1"/>
    </row>
    <row r="2" spans="1:19" ht="15.75" thickBot="1">
      <c r="A2" s="212"/>
      <c r="B2" s="202"/>
      <c r="C2" s="202"/>
      <c r="D2" s="202"/>
      <c r="E2" s="201"/>
      <c r="F2" s="202"/>
      <c r="G2" s="201"/>
      <c r="H2" s="203"/>
      <c r="I2" s="201"/>
      <c r="J2" s="204"/>
      <c r="K2" s="202"/>
      <c r="L2" s="202"/>
      <c r="M2" s="202"/>
      <c r="N2" s="202"/>
      <c r="O2" s="202"/>
      <c r="P2" s="202"/>
      <c r="Q2" s="202"/>
      <c r="R2" s="202"/>
      <c r="S2" s="205"/>
    </row>
    <row r="3" spans="2:19" ht="15.75" thickBot="1">
      <c r="B3" s="470" t="s">
        <v>64</v>
      </c>
      <c r="C3" s="471"/>
      <c r="D3" s="471"/>
      <c r="E3" s="471"/>
      <c r="F3" s="471"/>
      <c r="G3" s="471"/>
      <c r="H3" s="471"/>
      <c r="I3" s="471"/>
      <c r="J3" s="471"/>
      <c r="K3" s="471"/>
      <c r="L3" s="471"/>
      <c r="M3" s="471"/>
      <c r="N3" s="472"/>
      <c r="S3" s="205"/>
    </row>
    <row r="4" spans="6:19" ht="15">
      <c r="F4" s="87"/>
      <c r="H4" s="100"/>
      <c r="I4" s="87"/>
      <c r="J4" s="88"/>
      <c r="K4" s="87"/>
      <c r="L4" s="87"/>
      <c r="M4" s="87"/>
      <c r="N4" s="87"/>
      <c r="S4" s="205"/>
    </row>
    <row r="5" spans="2:19" ht="15.75" customHeight="1" thickBot="1">
      <c r="B5" s="7"/>
      <c r="D5" s="89"/>
      <c r="E5" s="89"/>
      <c r="H5" s="101"/>
      <c r="I5" s="4"/>
      <c r="J5" s="8"/>
      <c r="K5" s="8"/>
      <c r="N5" s="9"/>
      <c r="S5" s="205"/>
    </row>
    <row r="6" spans="2:19" ht="13.5" customHeight="1">
      <c r="B6" s="390" t="s">
        <v>120</v>
      </c>
      <c r="C6" s="392" t="s">
        <v>121</v>
      </c>
      <c r="D6" s="393"/>
      <c r="E6" s="394"/>
      <c r="F6" s="390" t="s">
        <v>11</v>
      </c>
      <c r="G6" s="456"/>
      <c r="H6" s="456"/>
      <c r="I6" s="456"/>
      <c r="J6" s="457"/>
      <c r="L6" s="461" t="s">
        <v>52</v>
      </c>
      <c r="M6" s="462"/>
      <c r="N6" s="463"/>
      <c r="S6" s="205"/>
    </row>
    <row r="7" spans="2:19" ht="21" customHeight="1" thickBot="1">
      <c r="B7" s="391"/>
      <c r="C7" s="395"/>
      <c r="D7" s="396"/>
      <c r="E7" s="397"/>
      <c r="F7" s="458"/>
      <c r="G7" s="459"/>
      <c r="H7" s="459"/>
      <c r="I7" s="459"/>
      <c r="J7" s="460"/>
      <c r="L7" s="464"/>
      <c r="M7" s="465"/>
      <c r="N7" s="466"/>
      <c r="S7" s="205"/>
    </row>
    <row r="8" spans="2:19" ht="46.5" customHeight="1" thickBot="1">
      <c r="B8" s="453" t="s">
        <v>14</v>
      </c>
      <c r="C8" s="454"/>
      <c r="D8" s="454"/>
      <c r="E8" s="455"/>
      <c r="F8" s="10" t="s">
        <v>13</v>
      </c>
      <c r="G8" s="147" t="s">
        <v>12</v>
      </c>
      <c r="H8" s="136" t="s">
        <v>62</v>
      </c>
      <c r="I8" s="152" t="s">
        <v>63</v>
      </c>
      <c r="J8" s="262" t="s">
        <v>75</v>
      </c>
      <c r="K8" s="26"/>
      <c r="L8" s="210" t="s">
        <v>72</v>
      </c>
      <c r="M8" s="222" t="s">
        <v>73</v>
      </c>
      <c r="N8" s="211" t="s">
        <v>74</v>
      </c>
      <c r="S8" s="205"/>
    </row>
    <row r="9" spans="1:19" ht="18" customHeight="1">
      <c r="A9" s="435" t="s">
        <v>128</v>
      </c>
      <c r="B9" s="11">
        <v>1</v>
      </c>
      <c r="C9" s="401" t="s">
        <v>1</v>
      </c>
      <c r="D9" s="427"/>
      <c r="E9" s="428"/>
      <c r="F9" s="142">
        <v>3</v>
      </c>
      <c r="G9" s="148" t="s">
        <v>67</v>
      </c>
      <c r="H9" s="137">
        <f>IF(F9=0,"0.0 %",IF(G9="Wheelbarrow(s)",F9*65/1000*1400/F22/F21,IF(G9="Litres",F9/1000*1400/F22/F21)))</f>
        <v>0.6672131460052995</v>
      </c>
      <c r="I9" s="107">
        <f>IF(G9="Wheelbarrow(s)",((F9*65/1000*1400/1000)*'Specific Emissions'!$F$7),IF(G9="litres",((F9/1000*1400/1000)*'Specific Emissions'!$F$7)))</f>
        <v>1.4632800000000001</v>
      </c>
      <c r="J9" s="263">
        <f>IF(OR(I20="select service",I20="Select g11",I20="service quantity",I20="0.0"),0,I9/I19)</f>
        <v>0.020229189309023697</v>
      </c>
      <c r="K9" s="6"/>
      <c r="L9" s="108">
        <f>IF(G9="Wheelbarrow(s)",((F9*65/1000*1400/1000)*'Specific Emissions'!$G$7),IF(G9="litres",((F9/1000*1400/1000)*'Specific Emissions'!$G$7)))</f>
        <v>0.5214300000000001</v>
      </c>
      <c r="M9" s="109">
        <f>IF(G9="Wheelbarrow(s)",((F9*65/1000*1400/1000)*'Specific Emissions'!$H$7),IF(G9="litres",((F9/1000*1400/1000)*'Specific Emissions'!$H$7)))</f>
        <v>0.9418500000000001</v>
      </c>
      <c r="N9" s="110">
        <f>IF(G9="Wheelbarrow(s)",((F9*65/1000*1400/1000)*'Specific Emissions'!$I$7),IF(G9="litres",((F9/1000*1400/1000)*'Specific Emissions'!$I$7)))</f>
        <v>0</v>
      </c>
      <c r="O9" s="35"/>
      <c r="R9" s="35"/>
      <c r="S9" s="205"/>
    </row>
    <row r="10" spans="1:19" ht="15">
      <c r="A10" s="451"/>
      <c r="B10" s="11">
        <v>2</v>
      </c>
      <c r="C10" s="418" t="s">
        <v>38</v>
      </c>
      <c r="D10" s="419"/>
      <c r="E10" s="420"/>
      <c r="F10" s="142">
        <v>2</v>
      </c>
      <c r="G10" s="149" t="s">
        <v>68</v>
      </c>
      <c r="H10" s="138">
        <f>IF(F10=0,"0.0 %",F10*50/F22/F21)</f>
        <v>0.244400419782161</v>
      </c>
      <c r="I10" s="107">
        <f>(IF(C10="","0.0",VLOOKUP(C10,ManufacturedTypesTable,6,FALSE)*(F10*50/1000)))</f>
        <v>69.02159501063389</v>
      </c>
      <c r="J10" s="234">
        <f>IF(OR(I20="select service",I20="Select g11",I20="service quantity",I20="0.0"),0,I10/I19)</f>
        <v>0.9541925755022129</v>
      </c>
      <c r="K10" s="6"/>
      <c r="L10" s="111">
        <f>IF(C10="","0.0",VLOOKUP(C10,ManufacturedTypesTable,7,FALSE)*(F10*50/1000))</f>
        <v>57.27894009068648</v>
      </c>
      <c r="M10" s="112">
        <f>IF(C10="","0.0",VLOOKUP(C10,ManufacturedTypesTable,8,FALSE)*(F10*50/1000))</f>
        <v>10.215064565683434</v>
      </c>
      <c r="N10" s="113">
        <f>IF(C10="","0.0",VLOOKUP(C10,ManufacturedTypesTable,9,FALSE)*(F10*50/1000))</f>
        <v>1.527590354263977</v>
      </c>
      <c r="O10" s="8"/>
      <c r="R10" s="8"/>
      <c r="S10" s="205"/>
    </row>
    <row r="11" spans="1:19" ht="12.75" customHeight="1" outlineLevel="1">
      <c r="A11" s="451"/>
      <c r="B11" s="21">
        <v>2.1</v>
      </c>
      <c r="C11" s="421" t="s">
        <v>42</v>
      </c>
      <c r="D11" s="422"/>
      <c r="E11" s="423"/>
      <c r="F11" s="143">
        <f>IF(F10=0,"0",VLOOKUP(C10,ManufacturedTypesTable,2,FALSE)*F10*50)</f>
        <v>70</v>
      </c>
      <c r="G11" s="150" t="s">
        <v>8</v>
      </c>
      <c r="H11" s="139">
        <f>IF(F11="0","0.0 %",F11/F22/F21)</f>
        <v>0.1710802938475127</v>
      </c>
      <c r="I11" s="114">
        <f>(F11/1000*'Specific Emissions'!$F$23)</f>
        <v>68.9762091312696</v>
      </c>
      <c r="J11" s="264">
        <f>IF(OR(I20="select service",I20="Select g11",I20="service quantity",I20="0.0"),0,I11/I19)</f>
        <v>0.9535651360882821</v>
      </c>
      <c r="K11" s="115"/>
      <c r="L11" s="116">
        <f>F11/1000*'Specific Emissions'!$G$23</f>
        <v>57.278501989374725</v>
      </c>
      <c r="M11" s="117">
        <f>F11/1000*'Specific Emissions'!$H$23</f>
        <v>10.1701167876309</v>
      </c>
      <c r="N11" s="118">
        <f>F11/1000*'Specific Emissions'!$I$23</f>
        <v>1.5275903542639773</v>
      </c>
      <c r="O11" s="8"/>
      <c r="R11" s="8"/>
      <c r="S11" s="205"/>
    </row>
    <row r="12" spans="1:19" ht="12.75" customHeight="1" outlineLevel="1">
      <c r="A12" s="451"/>
      <c r="B12" s="21">
        <v>2.2</v>
      </c>
      <c r="C12" s="432" t="s">
        <v>69</v>
      </c>
      <c r="D12" s="433"/>
      <c r="E12" s="434"/>
      <c r="F12" s="143">
        <f>IF(F10=0,"0",VLOOKUP(C10,ManufacturedTypesTable,3,FALSE)*F10*50)</f>
        <v>30</v>
      </c>
      <c r="G12" s="150" t="s">
        <v>8</v>
      </c>
      <c r="H12" s="139">
        <f>IF(F12="0","0.0 %",F12/F22/F21)</f>
        <v>0.0733201259346483</v>
      </c>
      <c r="I12" s="114">
        <f>(F12/1000*'Specific Emissions'!$F$8)</f>
        <v>0.045385879364294106</v>
      </c>
      <c r="J12" s="264">
        <f>IF(OR(I20="select service",I20="Select g11",I20="service quantity",I20="0.0"),0,I12/I19)</f>
        <v>0.0006274394139309068</v>
      </c>
      <c r="K12" s="115"/>
      <c r="L12" s="116">
        <f>F12/1000*'Specific Emissions'!$G$8</f>
        <v>0.0004381013117590913</v>
      </c>
      <c r="M12" s="117">
        <f>F12/1000*'Specific Emissions'!$H$8</f>
        <v>0.04494777805253501</v>
      </c>
      <c r="N12" s="118">
        <f>F12/1000*'Specific Emissions'!$I$8</f>
        <v>0</v>
      </c>
      <c r="O12" s="8"/>
      <c r="R12" s="8"/>
      <c r="S12" s="205"/>
    </row>
    <row r="13" spans="1:19" ht="12.75" customHeight="1" outlineLevel="1">
      <c r="A13" s="451"/>
      <c r="B13" s="21">
        <v>2.3</v>
      </c>
      <c r="C13" s="432" t="s">
        <v>106</v>
      </c>
      <c r="D13" s="433"/>
      <c r="E13" s="434"/>
      <c r="F13" s="143">
        <f>IF(F10=0,"0",VLOOKUP(C10,ManufacturedTypesTable,4,FALSE)*F10*50)</f>
        <v>0</v>
      </c>
      <c r="G13" s="150" t="s">
        <v>8</v>
      </c>
      <c r="H13" s="139">
        <f>IF(F13="0","0.0 %",F13/F22/F21)</f>
        <v>0</v>
      </c>
      <c r="I13" s="114">
        <f>F13/1000*'Specific Emissions'!$F$9</f>
        <v>0</v>
      </c>
      <c r="J13" s="264">
        <f>IF(OR(I20="select service",I20="Select g11",I20="service quantity",I20="0.0"),0,I13/I19)</f>
        <v>0</v>
      </c>
      <c r="K13" s="115"/>
      <c r="L13" s="116">
        <f>F13/1000*'Specific Emissions'!$G$9</f>
        <v>0</v>
      </c>
      <c r="M13" s="117">
        <f>F13/1000*'Specific Emissions'!$H$9</f>
        <v>0</v>
      </c>
      <c r="N13" s="118">
        <f>F13/1000*'Specific Emissions'!$I$9</f>
        <v>0</v>
      </c>
      <c r="O13" s="8"/>
      <c r="R13" s="8"/>
      <c r="S13" s="205"/>
    </row>
    <row r="14" spans="1:19" ht="12.75" customHeight="1" outlineLevel="1">
      <c r="A14" s="451"/>
      <c r="B14" s="21">
        <v>2.4</v>
      </c>
      <c r="C14" s="432" t="s">
        <v>107</v>
      </c>
      <c r="D14" s="433"/>
      <c r="E14" s="434"/>
      <c r="F14" s="143">
        <f>IF(F10=0,"0",VLOOKUP(C10,ManufacturedTypesTable,5,FALSE)*F10*50)</f>
        <v>0</v>
      </c>
      <c r="G14" s="150" t="s">
        <v>8</v>
      </c>
      <c r="H14" s="139">
        <f>IF(F14="0","0.0 %",F14/F22/F21)</f>
        <v>0</v>
      </c>
      <c r="I14" s="114">
        <f>F14/1000*'Specific Emissions'!$F$12</f>
        <v>0</v>
      </c>
      <c r="J14" s="264">
        <f>IF(OR(I20="select service",I20="Select g11",I20="service quantity",I20="0.0"),0,I14/I19)</f>
        <v>0</v>
      </c>
      <c r="K14" s="115"/>
      <c r="L14" s="116">
        <f>F14/1000*'Specific Emissions'!$G$12</f>
        <v>0</v>
      </c>
      <c r="M14" s="117">
        <f>F14/1000*'Specific Emissions'!$H$12</f>
        <v>0</v>
      </c>
      <c r="N14" s="118">
        <f>F14/1000*'Specific Emissions'!$I$12</f>
        <v>0</v>
      </c>
      <c r="O14" s="8"/>
      <c r="R14" s="8"/>
      <c r="S14" s="205"/>
    </row>
    <row r="15" spans="1:19" ht="15">
      <c r="A15" s="451"/>
      <c r="B15" s="6">
        <v>3</v>
      </c>
      <c r="C15" s="401" t="s">
        <v>9</v>
      </c>
      <c r="D15" s="427"/>
      <c r="E15" s="428"/>
      <c r="F15" s="144">
        <f>IF(F9=0,0,IF(C17="Site mixed concrete",210*F17,IF(C17="Site mixed plaster",240*F17,IF(C17="Site mixed mortar",300*F17,0))))</f>
        <v>36.174600000000005</v>
      </c>
      <c r="G15" s="149" t="s">
        <v>30</v>
      </c>
      <c r="H15" s="138">
        <f>IF(F15=0,"0.0 %",F15/F22/F21)</f>
        <v>0.08841087425451763</v>
      </c>
      <c r="I15" s="107">
        <f>F15/1000*'Specific Emissions'!F$10</f>
        <v>0.03364237800000001</v>
      </c>
      <c r="J15" s="234">
        <f>IF(OR(I20="select service",I20="Select g11",I20="service quantity",I20="0.0"),0,I15/I19)</f>
        <v>0.000465090777819511</v>
      </c>
      <c r="K15" s="6"/>
      <c r="L15" s="111">
        <f>F15/1000*'Specific Emissions'!G$10</f>
        <v>0.018839731680000006</v>
      </c>
      <c r="M15" s="112">
        <f>F15/1000*'Specific Emissions'!H$10</f>
        <v>0.014802646320000003</v>
      </c>
      <c r="N15" s="113">
        <f>F15/1000*'Specific Emissions'!I$10</f>
        <v>0</v>
      </c>
      <c r="O15" s="8"/>
      <c r="R15" s="8"/>
      <c r="S15" s="205"/>
    </row>
    <row r="16" spans="1:19" ht="15.75" thickBot="1">
      <c r="A16" s="452"/>
      <c r="B16" s="11">
        <v>4</v>
      </c>
      <c r="C16" s="398" t="s">
        <v>108</v>
      </c>
      <c r="D16" s="399"/>
      <c r="E16" s="400"/>
      <c r="F16" s="145">
        <v>0</v>
      </c>
      <c r="G16" s="149" t="s">
        <v>8</v>
      </c>
      <c r="H16" s="140" t="str">
        <f>IF(F16=0,"0.0 %",F16/F22/F21)</f>
        <v>0.0 %</v>
      </c>
      <c r="I16" s="119">
        <f>F16/1000*'Specific Emissions'!F$11</f>
        <v>0</v>
      </c>
      <c r="J16" s="265">
        <f>IF(OR(I20="select service",I20="Select g11",I20="service quantity",I20="0.0"),0,I16/I19)</f>
        <v>0</v>
      </c>
      <c r="K16" s="6"/>
      <c r="L16" s="120">
        <f>F16/1000*'Specific Emissions'!G$11</f>
        <v>0</v>
      </c>
      <c r="M16" s="121">
        <f>F16/1000*'Specific Emissions'!H$11</f>
        <v>0</v>
      </c>
      <c r="N16" s="122">
        <f>F16/1000*'Specific Emissions'!I$11</f>
        <v>0</v>
      </c>
      <c r="O16" s="8"/>
      <c r="R16" s="8"/>
      <c r="S16" s="205"/>
    </row>
    <row r="17" spans="1:19" ht="18" thickBot="1">
      <c r="A17" s="90" t="s">
        <v>10</v>
      </c>
      <c r="B17" s="91">
        <v>5</v>
      </c>
      <c r="C17" s="467" t="s">
        <v>58</v>
      </c>
      <c r="D17" s="468"/>
      <c r="E17" s="469"/>
      <c r="F17" s="146">
        <f>IF(SUM(F9:F14)=0,0,IF(G9="Wheelbarrow(s)",((F9*65/1000*1400)+(F10*33/1000*1515))/(((F9*65/1000*1400)+(F10*33/1000*1515))*(1000/(((F9*65)+(F10*33))*0.66))),IF(G9="litres",(((F9/1000*1400)+(F10*33/1000*1515))/(((F9*65/1000*1400)+(F10*33/1000*1515))*(1000/(((F9*65)+(F10*33))*0.66)))))))</f>
        <v>0.17226000000000002</v>
      </c>
      <c r="G17" s="151" t="s">
        <v>27</v>
      </c>
      <c r="H17" s="141">
        <f>IF(OR(F21="0",F21=0,F21=""),"0.0 %",SUM(H9:H10,H15:H16))</f>
        <v>1.000024440041978</v>
      </c>
      <c r="I17" s="123">
        <f>IF(C17="","0.0",VLOOKUP("Mixed Concrete",PrecastCementTypes,4,FALSE)*F21)</f>
        <v>1.8165612764943528</v>
      </c>
      <c r="J17" s="266">
        <f>IF(OR(I20="select service",I20="Select g11",I20="service quantity",I20="0.0"),0,I17/I19)</f>
        <v>0.025113144410943904</v>
      </c>
      <c r="K17" s="6"/>
      <c r="L17" s="124">
        <f>IF(C17="","0.0",VLOOKUP("mixed concrete",PrecastCementTypes,5,FALSE)*F21)</f>
        <v>0.12715370700433865</v>
      </c>
      <c r="M17" s="125">
        <f>IF(C17="","0.0",VLOOKUP("mixed concrete",PrecastCementTypes,6,FALSE)*F21)</f>
        <v>0.17719431910820402</v>
      </c>
      <c r="N17" s="126">
        <f>IF(C17="","0.0",VLOOKUP("mixed concrete",PrecastCementTypes,7,FALSE)*F21)</f>
        <v>1.5122132503818102</v>
      </c>
      <c r="O17" s="92"/>
      <c r="R17" s="92"/>
      <c r="S17" s="205"/>
    </row>
    <row r="18" spans="1:19" ht="3.75" customHeight="1" thickBot="1">
      <c r="A18" s="201"/>
      <c r="B18" s="6"/>
      <c r="C18" s="6"/>
      <c r="D18" s="6"/>
      <c r="E18" s="93"/>
      <c r="F18" s="93"/>
      <c r="G18" s="93"/>
      <c r="H18" s="102"/>
      <c r="I18" s="93"/>
      <c r="J18" s="93"/>
      <c r="K18" s="6"/>
      <c r="L18" s="133"/>
      <c r="M18" s="133"/>
      <c r="N18" s="133"/>
      <c r="O18" s="8"/>
      <c r="R18" s="8"/>
      <c r="S18" s="205"/>
    </row>
    <row r="19" spans="1:19" s="55" customFormat="1" ht="19.5" customHeight="1" thickBot="1">
      <c r="A19" s="50"/>
      <c r="B19" s="50"/>
      <c r="C19" s="410" t="s">
        <v>100</v>
      </c>
      <c r="D19" s="411"/>
      <c r="E19" s="411"/>
      <c r="F19" s="104">
        <f>F17</f>
        <v>0.17226000000000002</v>
      </c>
      <c r="G19" s="81" t="s">
        <v>49</v>
      </c>
      <c r="H19" s="127"/>
      <c r="I19" s="128">
        <f>I20*F17</f>
        <v>72.33507866512824</v>
      </c>
      <c r="J19" s="153">
        <f>IF(F21=0,0,SUM(J9:J10,J15:J17))</f>
        <v>1</v>
      </c>
      <c r="K19" s="50"/>
      <c r="L19" s="67">
        <f>L20*F19</f>
        <v>57.94636352937083</v>
      </c>
      <c r="M19" s="134">
        <f>M20*F19</f>
        <v>11.34891153111164</v>
      </c>
      <c r="N19" s="135">
        <f>N20*F19</f>
        <v>3.0398036046457872</v>
      </c>
      <c r="O19" s="51"/>
      <c r="P19" s="49"/>
      <c r="Q19" s="8"/>
      <c r="R19" s="51"/>
      <c r="S19" s="206"/>
    </row>
    <row r="20" spans="1:19" ht="19.5" customHeight="1" thickBot="1">
      <c r="A20" s="6"/>
      <c r="B20" s="6"/>
      <c r="C20" s="410" t="s">
        <v>101</v>
      </c>
      <c r="D20" s="411"/>
      <c r="E20" s="411"/>
      <c r="F20" s="373">
        <v>1</v>
      </c>
      <c r="G20" s="81" t="s">
        <v>49</v>
      </c>
      <c r="H20" s="129"/>
      <c r="I20" s="130">
        <f>IF(C17="","Select service",IF(F17=0,"0.0",IF(G9="","Select G11",(SUM(I9:I10,I15:I17)/F17))))</f>
        <v>419.91802313437955</v>
      </c>
      <c r="J20" s="153"/>
      <c r="K20" s="6"/>
      <c r="L20" s="130">
        <f>IF(I20="0.0",0,SUM(L9:L10,L15:L17)/F17)</f>
        <v>336.3889674292977</v>
      </c>
      <c r="M20" s="131">
        <f>IF(I20="0.0",0,SUM(M9:M10,M15:M17)/F17)</f>
        <v>65.88245402944176</v>
      </c>
      <c r="N20" s="132">
        <f>IF(I20="0.0",0,SUM(N9:N10,N15:N17)/F17)</f>
        <v>17.646601675640234</v>
      </c>
      <c r="S20" s="205"/>
    </row>
    <row r="21" spans="1:19" ht="15.75" thickBot="1">
      <c r="A21" s="6"/>
      <c r="B21" s="6"/>
      <c r="C21" s="6"/>
      <c r="D21" s="6"/>
      <c r="F21" s="105">
        <f>IF(SUM(F9:F16)=0,0,IF(G9="Wheelbarrow(s)",((F9*65/1000*1400)+(F10*33/1000*1515))/(((F9*65/1000*1400)+(F10*33/1000*1515))*(1000/(((F9*65)+(F10*33))*0.66))),IF(G9="litres",(((F9/1000*1400)+(F10*33/1000*1515))/(((F9*65/1000*1400)+(F10*33/1000*1515))*(1000/(((F9*65)+(F10*33))*0.66)))))))</f>
        <v>0.17226000000000002</v>
      </c>
      <c r="I21" s="86"/>
      <c r="J21" s="4"/>
      <c r="S21" s="205"/>
    </row>
    <row r="22" spans="1:19" ht="19.5" customHeight="1" thickBot="1">
      <c r="A22" s="6"/>
      <c r="B22" s="94" t="str">
        <f>IF(C17="","No Selection",C17)</f>
        <v>Site mixed concrete</v>
      </c>
      <c r="C22" s="95" t="s">
        <v>50</v>
      </c>
      <c r="D22" s="269">
        <v>1</v>
      </c>
      <c r="E22" s="96" t="s">
        <v>51</v>
      </c>
      <c r="F22" s="268">
        <f>IF(I20="0.0",0,IF(G9="Wheelbarrow(s)",SUM((((F9*65/1000*1400)+(F10*33/1000*1515))*(1000/(((F9*65)+(F10*33))*0.66)))+F15/F21),IF(G9="litres",(SUM((((F9/1000*1400)+(F10*33/1000*1515))*(1000/(((F9)+(F10*33))*0.66)))+F15/F21)))))</f>
        <v>2375.2734238941134</v>
      </c>
      <c r="G22" s="70" t="str">
        <f>IF(F22=0,"",IF(G9="m3","",IF(ABS(F22-2400)/2400&gt;10%,"Note: High 10% variation from industry average density of 2 400 kg/m3.","Note: Density close to industry rule of thumb of 2 400 kg/m3.")))</f>
        <v>Note: Density close to industry rule of thumb of 2 400 kg/m3.</v>
      </c>
      <c r="H22" s="71"/>
      <c r="I22" s="71"/>
      <c r="J22" s="71"/>
      <c r="K22" s="72"/>
      <c r="L22" s="72"/>
      <c r="M22" s="72"/>
      <c r="N22" s="73"/>
      <c r="S22" s="205"/>
    </row>
    <row r="23" spans="2:19" ht="15">
      <c r="B23" s="6"/>
      <c r="E23" s="4"/>
      <c r="G23" s="4"/>
      <c r="H23" s="101"/>
      <c r="I23" s="4"/>
      <c r="J23" s="92"/>
      <c r="S23" s="205"/>
    </row>
    <row r="24" spans="7:19" ht="15.75" thickBot="1">
      <c r="G24" s="97"/>
      <c r="H24" s="103"/>
      <c r="I24" s="97"/>
      <c r="J24" s="97"/>
      <c r="S24" s="205"/>
    </row>
    <row r="25" spans="2:19" ht="13.5" customHeight="1">
      <c r="B25" s="390" t="s">
        <v>120</v>
      </c>
      <c r="C25" s="392" t="s">
        <v>122</v>
      </c>
      <c r="D25" s="393"/>
      <c r="E25" s="394"/>
      <c r="F25" s="390" t="s">
        <v>57</v>
      </c>
      <c r="G25" s="456"/>
      <c r="H25" s="456"/>
      <c r="I25" s="456"/>
      <c r="J25" s="457"/>
      <c r="L25" s="461" t="s">
        <v>52</v>
      </c>
      <c r="M25" s="462"/>
      <c r="N25" s="463"/>
      <c r="S25" s="205"/>
    </row>
    <row r="26" spans="2:19" ht="21" customHeight="1" thickBot="1">
      <c r="B26" s="391"/>
      <c r="C26" s="395"/>
      <c r="D26" s="396"/>
      <c r="E26" s="397"/>
      <c r="F26" s="458"/>
      <c r="G26" s="459"/>
      <c r="H26" s="459"/>
      <c r="I26" s="459"/>
      <c r="J26" s="460"/>
      <c r="L26" s="464"/>
      <c r="M26" s="465"/>
      <c r="N26" s="466"/>
      <c r="S26" s="205"/>
    </row>
    <row r="27" spans="2:19" ht="45.75" customHeight="1" thickBot="1">
      <c r="B27" s="453" t="s">
        <v>14</v>
      </c>
      <c r="C27" s="454"/>
      <c r="D27" s="454"/>
      <c r="E27" s="455"/>
      <c r="F27" s="10" t="s">
        <v>13</v>
      </c>
      <c r="G27" s="147" t="s">
        <v>12</v>
      </c>
      <c r="H27" s="136" t="s">
        <v>62</v>
      </c>
      <c r="I27" s="152" t="s">
        <v>63</v>
      </c>
      <c r="J27" s="262" t="s">
        <v>75</v>
      </c>
      <c r="K27" s="26"/>
      <c r="L27" s="210" t="s">
        <v>72</v>
      </c>
      <c r="M27" s="222" t="s">
        <v>73</v>
      </c>
      <c r="N27" s="211" t="s">
        <v>74</v>
      </c>
      <c r="S27" s="205"/>
    </row>
    <row r="28" spans="1:19" ht="15" customHeight="1">
      <c r="A28" s="435" t="s">
        <v>128</v>
      </c>
      <c r="B28" s="11">
        <v>1</v>
      </c>
      <c r="C28" s="476" t="s">
        <v>1</v>
      </c>
      <c r="D28" s="477"/>
      <c r="E28" s="478"/>
      <c r="F28" s="142">
        <v>3</v>
      </c>
      <c r="G28" s="148" t="s">
        <v>67</v>
      </c>
      <c r="H28" s="137">
        <f>IF(F28=0,"0.0 %",IF(G28="Wheelbarrow(s)",F28*65/1000*1400/F41/F40,IF(G28="Litres",F28/1000*1400/F41/F40)))</f>
        <v>0.6672131460052995</v>
      </c>
      <c r="I28" s="107">
        <f>IF(G28="Wheelbarrow(s)",((F28*65/1000*1400/1000)*'Specific Emissions'!$F$7),IF(G28="litres",((F28/1000*1400/1000)*'Specific Emissions'!$F$7)))</f>
        <v>1.4632800000000001</v>
      </c>
      <c r="J28" s="263">
        <f>IF(OR(I39="select service",I39="Select g11",I39="service quantity",I39="0.0"),0,I28/I38)</f>
        <v>0.01921666034895123</v>
      </c>
      <c r="K28" s="6"/>
      <c r="L28" s="108">
        <f>IF(G28="Wheelbarrow(s)",((F28*65/1000*1400/1000)*'Specific Emissions'!$G$7),IF(G28="litres",((F28/1000*1400/1000)*'Specific Emissions'!$G$7)))</f>
        <v>0.5214300000000001</v>
      </c>
      <c r="M28" s="109">
        <f>IF(G28="Wheelbarrow(s)",((F28*65/1000*1400/1000)*'Specific Emissions'!$H$7),IF(G28="litres",((F28/1000*1400/1000)*'Specific Emissions'!$H$7)))</f>
        <v>0.9418500000000001</v>
      </c>
      <c r="N28" s="110">
        <f>IF(G28="Wheelbarrow(s)",((F28*65/1000*1400/1000)*'Specific Emissions'!$I$7),IF(G28="litres",((F28/1000*1400/1000)*'Specific Emissions'!$I$7)))</f>
        <v>0</v>
      </c>
      <c r="O28" s="8"/>
      <c r="R28" s="8"/>
      <c r="S28" s="205"/>
    </row>
    <row r="29" spans="1:19" ht="15">
      <c r="A29" s="451"/>
      <c r="B29" s="11">
        <v>2</v>
      </c>
      <c r="C29" s="418" t="s">
        <v>36</v>
      </c>
      <c r="D29" s="419"/>
      <c r="E29" s="420"/>
      <c r="F29" s="142">
        <v>2</v>
      </c>
      <c r="G29" s="149" t="s">
        <v>68</v>
      </c>
      <c r="H29" s="138">
        <f>IF(F29=0,"0.0 %",F29*50/F41/F40)</f>
        <v>0.244400419782161</v>
      </c>
      <c r="I29" s="107">
        <f>(IF(C29="","0.0",VLOOKUP(C29,ManufacturedTypesTable,6,FALSE)*(F29*50/1000)))</f>
        <v>72.83294207342149</v>
      </c>
      <c r="J29" s="234">
        <f>IF(OR(I39="select service",I39="Select g11",I39="service quantity",I39="0.0"),0,I29/I38)</f>
        <v>0.95648536851442</v>
      </c>
      <c r="K29" s="6"/>
      <c r="L29" s="111">
        <f>IF(C29="","0.0",VLOOKUP(C29,ManufacturedTypesTable,7,FALSE)*(F29*50/1000))</f>
        <v>58.86818760544404</v>
      </c>
      <c r="M29" s="112">
        <f>IF(C29="","0.0",VLOOKUP(C29,ManufacturedTypesTable,8,FALSE)*(F29*50/1000))</f>
        <v>12.437164113713472</v>
      </c>
      <c r="N29" s="113">
        <f>IF(C29="","0.0",VLOOKUP(C29,ManufacturedTypesTable,9,FALSE)*(F29*50/1000))</f>
        <v>1.527590354263977</v>
      </c>
      <c r="O29" s="8"/>
      <c r="R29" s="8"/>
      <c r="S29" s="205"/>
    </row>
    <row r="30" spans="1:19" ht="12.75" customHeight="1" outlineLevel="1">
      <c r="A30" s="451"/>
      <c r="B30" s="21">
        <v>2.1</v>
      </c>
      <c r="C30" s="421" t="s">
        <v>42</v>
      </c>
      <c r="D30" s="422"/>
      <c r="E30" s="423"/>
      <c r="F30" s="143">
        <f>IF(F29=0,"0",VLOOKUP(C29,ManufacturedTypesTable,2,FALSE)*F29*50)</f>
        <v>70</v>
      </c>
      <c r="G30" s="150" t="s">
        <v>8</v>
      </c>
      <c r="H30" s="139">
        <f>IF(F30="0","0.0 %",F30/F41/F40)</f>
        <v>0.1710802938475127</v>
      </c>
      <c r="I30" s="114">
        <f>(F30/1000*'Specific Emissions'!$F$23)</f>
        <v>68.9762091312696</v>
      </c>
      <c r="J30" s="264">
        <f>IF(OR(I39="select service",I39="Select g11",I39="service quantity",I39="0.0"),0,I30/I38)</f>
        <v>0.9058364653612679</v>
      </c>
      <c r="K30" s="115"/>
      <c r="L30" s="116">
        <f>F30/1000*'Specific Emissions'!$G$23</f>
        <v>57.278501989374725</v>
      </c>
      <c r="M30" s="117">
        <f>F30/1000*'Specific Emissions'!$H$23</f>
        <v>10.1701167876309</v>
      </c>
      <c r="N30" s="118">
        <f>F30/1000*'Specific Emissions'!$I$23</f>
        <v>1.5275903542639773</v>
      </c>
      <c r="O30" s="8"/>
      <c r="R30" s="8"/>
      <c r="S30" s="205"/>
    </row>
    <row r="31" spans="1:19" ht="12.75" customHeight="1" outlineLevel="1">
      <c r="A31" s="451"/>
      <c r="B31" s="21">
        <v>2.2</v>
      </c>
      <c r="C31" s="432" t="s">
        <v>69</v>
      </c>
      <c r="D31" s="433"/>
      <c r="E31" s="434"/>
      <c r="F31" s="143">
        <f>IF(F29=0,"0",VLOOKUP(C29,ManufacturedTypesTable,3,FALSE)*F29*50)</f>
        <v>0</v>
      </c>
      <c r="G31" s="150" t="s">
        <v>8</v>
      </c>
      <c r="H31" s="139">
        <f>IF(F31="0","0.0 %",F31/F41/F40)</f>
        <v>0</v>
      </c>
      <c r="I31" s="114">
        <f>(F31/1000*'Specific Emissions'!$F$8)</f>
        <v>0</v>
      </c>
      <c r="J31" s="264">
        <f>IF(OR(I39="select service",I39="Select g11",I39="service quantity",I39="0.0"),0,I31/I38)</f>
        <v>0</v>
      </c>
      <c r="K31" s="115"/>
      <c r="L31" s="116">
        <f>F31/1000*'Specific Emissions'!$G$8</f>
        <v>0</v>
      </c>
      <c r="M31" s="117">
        <f>F31/1000*'Specific Emissions'!$H$8</f>
        <v>0</v>
      </c>
      <c r="N31" s="118">
        <f>F31/1000*'Specific Emissions'!$I$8</f>
        <v>0</v>
      </c>
      <c r="O31" s="8"/>
      <c r="R31" s="8"/>
      <c r="S31" s="205"/>
    </row>
    <row r="32" spans="1:19" ht="12.75" customHeight="1" outlineLevel="1">
      <c r="A32" s="451"/>
      <c r="B32" s="21">
        <v>2.3</v>
      </c>
      <c r="C32" s="432" t="s">
        <v>106</v>
      </c>
      <c r="D32" s="433"/>
      <c r="E32" s="434"/>
      <c r="F32" s="143">
        <f>IF(F29=0,"0",VLOOKUP(C29,ManufacturedTypesTable,4,FALSE)*F29*50)</f>
        <v>30</v>
      </c>
      <c r="G32" s="150" t="s">
        <v>8</v>
      </c>
      <c r="H32" s="139">
        <f>IF(F32="0","0.0 %",F32/F41/F40)</f>
        <v>0.0733201259346483</v>
      </c>
      <c r="I32" s="114">
        <f>F32/1000*'Specific Emissions'!$F$9</f>
        <v>3.856732942151895</v>
      </c>
      <c r="J32" s="264">
        <f>IF(OR(I39="select service",I39="Select g11",I39="service quantity",I39="0.0"),0,I32/I38)</f>
        <v>0.050648903153152056</v>
      </c>
      <c r="K32" s="115"/>
      <c r="L32" s="116">
        <f>F32/1000*'Specific Emissions'!$G$9</f>
        <v>1.589685616069323</v>
      </c>
      <c r="M32" s="117">
        <f>F32/1000*'Specific Emissions'!$H$9</f>
        <v>2.2670473260825728</v>
      </c>
      <c r="N32" s="118">
        <f>F32/1000*'Specific Emissions'!$I$9</f>
        <v>0</v>
      </c>
      <c r="O32" s="8"/>
      <c r="R32" s="8"/>
      <c r="S32" s="205"/>
    </row>
    <row r="33" spans="1:19" ht="12.75" customHeight="1" outlineLevel="1">
      <c r="A33" s="451"/>
      <c r="B33" s="21">
        <v>2.4</v>
      </c>
      <c r="C33" s="432" t="s">
        <v>107</v>
      </c>
      <c r="D33" s="433"/>
      <c r="E33" s="434"/>
      <c r="F33" s="143">
        <f>IF(F29=0,"0",VLOOKUP(C29,ManufacturedTypesTable,5,FALSE)*F29*50)</f>
        <v>0</v>
      </c>
      <c r="G33" s="150" t="s">
        <v>8</v>
      </c>
      <c r="H33" s="139">
        <f>IF(F33="0","0.0 %",F33/F41/F40)</f>
        <v>0</v>
      </c>
      <c r="I33" s="114">
        <f>F33/1000*'Specific Emissions'!$F$12</f>
        <v>0</v>
      </c>
      <c r="J33" s="264">
        <f>IF(OR(I39="select service",I39="Select g11",I39="service quantity",I39="0.0"),0,I33/I38)</f>
        <v>0</v>
      </c>
      <c r="K33" s="115"/>
      <c r="L33" s="116">
        <f>F33/1000*'Specific Emissions'!$G$12</f>
        <v>0</v>
      </c>
      <c r="M33" s="117">
        <f>F33/1000*'Specific Emissions'!$H$12</f>
        <v>0</v>
      </c>
      <c r="N33" s="118">
        <f>F33/1000*'Specific Emissions'!$I$12</f>
        <v>0</v>
      </c>
      <c r="O33" s="8"/>
      <c r="R33" s="8"/>
      <c r="S33" s="205"/>
    </row>
    <row r="34" spans="1:19" ht="15">
      <c r="A34" s="451"/>
      <c r="B34" s="6">
        <v>3</v>
      </c>
      <c r="C34" s="401" t="s">
        <v>9</v>
      </c>
      <c r="D34" s="427"/>
      <c r="E34" s="428"/>
      <c r="F34" s="144">
        <f>IF(F28=0,0,IF(C36="Site mixed concrete",210*F36,IF(C36="Site mixed plaster",240*F36,IF(C36="Site mixed mortar",300*F36,0))))</f>
        <v>36.174600000000005</v>
      </c>
      <c r="G34" s="149" t="s">
        <v>30</v>
      </c>
      <c r="H34" s="138">
        <f>IF(F34=0,"0.0 %",F34/F41/F40)</f>
        <v>0.08841087425451763</v>
      </c>
      <c r="I34" s="107">
        <f>F34/1000*'Specific Emissions'!F$10</f>
        <v>0.03364237800000001</v>
      </c>
      <c r="J34" s="234">
        <f>IF(OR(I39="select service",I39="Select g11",I39="service quantity",I39="0.0"),0,I34/I38)</f>
        <v>0.00044181165009911247</v>
      </c>
      <c r="K34" s="6"/>
      <c r="L34" s="111">
        <f>F34/1000*'Specific Emissions'!G$10</f>
        <v>0.018839731680000006</v>
      </c>
      <c r="M34" s="112">
        <f>F34/1000*'Specific Emissions'!H$10</f>
        <v>0.014802646320000003</v>
      </c>
      <c r="N34" s="113">
        <f>F34/1000*'Specific Emissions'!I$10</f>
        <v>0</v>
      </c>
      <c r="O34" s="8"/>
      <c r="R34" s="8"/>
      <c r="S34" s="205"/>
    </row>
    <row r="35" spans="1:19" ht="15.75" thickBot="1">
      <c r="A35" s="452"/>
      <c r="B35" s="11">
        <v>4</v>
      </c>
      <c r="C35" s="398" t="s">
        <v>108</v>
      </c>
      <c r="D35" s="399"/>
      <c r="E35" s="400"/>
      <c r="F35" s="145">
        <v>0</v>
      </c>
      <c r="G35" s="149" t="s">
        <v>8</v>
      </c>
      <c r="H35" s="140" t="str">
        <f>IF(F35=0,"0.0 %",F35/F41/F40)</f>
        <v>0.0 %</v>
      </c>
      <c r="I35" s="119">
        <f>F35/1000*'Specific Emissions'!F$11</f>
        <v>0</v>
      </c>
      <c r="J35" s="265">
        <f>IF(OR(I39="select service",I39="Select g11",I39="service quantity",I39="0.0"),0,I35/I38)</f>
        <v>0</v>
      </c>
      <c r="K35" s="6"/>
      <c r="L35" s="120">
        <f>F35/1000*'Specific Emissions'!G$11</f>
        <v>0</v>
      </c>
      <c r="M35" s="121">
        <f>F35/1000*'Specific Emissions'!H$11</f>
        <v>0</v>
      </c>
      <c r="N35" s="122">
        <f>F35/1000*'Specific Emissions'!I$11</f>
        <v>0</v>
      </c>
      <c r="O35" s="8"/>
      <c r="R35" s="8"/>
      <c r="S35" s="205"/>
    </row>
    <row r="36" spans="1:19" ht="18" thickBot="1">
      <c r="A36" s="90" t="s">
        <v>10</v>
      </c>
      <c r="B36" s="91">
        <v>5</v>
      </c>
      <c r="C36" s="467" t="s">
        <v>58</v>
      </c>
      <c r="D36" s="468"/>
      <c r="E36" s="469"/>
      <c r="F36" s="146">
        <f>IF(SUM(F28:F33)=0,0,IF(G28="Wheelbarrow(s)",((F28*65/1000*1400)+(F29*33/1000*1515))/(((F28*65/1000*1400)+(F29*33/1000*1515))*(1000/(((F28*65)+(F29*33))*0.66))),IF(G28="litres",(((F28/1000*1400)+(F29*33/1000*1515))/(((F28*65/1000*1400)+(F29*33/1000*1515))*(1000/(((F28*65)+(F29*33))*0.66)))))))</f>
        <v>0.17226000000000002</v>
      </c>
      <c r="G36" s="151" t="s">
        <v>27</v>
      </c>
      <c r="H36" s="141">
        <f>IF(OR(F40="0",F40=0,F40=""),"0.0 %",SUM(H28:H29,H34:H35))</f>
        <v>1.000024440041978</v>
      </c>
      <c r="I36" s="123">
        <f>IF(C36="","0.0",VLOOKUP("Mixed Concrete",PrecastCementTypes,4,FALSE)*F40)</f>
        <v>1.8165612764943528</v>
      </c>
      <c r="J36" s="266">
        <f>IF(OR(I39="select service",I39="Select g11",I39="service quantity",I39="0.0"),0,I36/I38)</f>
        <v>0.023856159486529756</v>
      </c>
      <c r="K36" s="6"/>
      <c r="L36" s="124">
        <f>IF(C36="","0.0",VLOOKUP("mixed concrete",PrecastCementTypes,5,FALSE)*F40)</f>
        <v>0.12715370700433865</v>
      </c>
      <c r="M36" s="125">
        <f>IF(C36="","0.0",VLOOKUP("mixed concrete",PrecastCementTypes,6,FALSE)*F40)</f>
        <v>0.17719431910820402</v>
      </c>
      <c r="N36" s="126">
        <f>IF(C36="","0.0",VLOOKUP("mixed concrete",PrecastCementTypes,7,FALSE)*F40)</f>
        <v>1.5122132503818102</v>
      </c>
      <c r="O36" s="92"/>
      <c r="R36" s="92"/>
      <c r="S36" s="205"/>
    </row>
    <row r="37" spans="1:19" ht="3.75" customHeight="1" thickBot="1">
      <c r="A37" s="201"/>
      <c r="B37" s="6"/>
      <c r="C37" s="6"/>
      <c r="D37" s="6"/>
      <c r="E37" s="93"/>
      <c r="F37" s="93"/>
      <c r="G37" s="93"/>
      <c r="H37" s="102"/>
      <c r="I37" s="93"/>
      <c r="J37" s="93"/>
      <c r="K37" s="6"/>
      <c r="L37" s="133"/>
      <c r="M37" s="133"/>
      <c r="N37" s="133"/>
      <c r="O37" s="8"/>
      <c r="R37" s="8"/>
      <c r="S37" s="205"/>
    </row>
    <row r="38" spans="1:19" ht="19.5" customHeight="1" thickBot="1">
      <c r="A38" s="50"/>
      <c r="B38" s="50"/>
      <c r="C38" s="410" t="s">
        <v>100</v>
      </c>
      <c r="D38" s="411"/>
      <c r="E38" s="411"/>
      <c r="F38" s="104">
        <f>F36</f>
        <v>0.17226000000000002</v>
      </c>
      <c r="G38" s="81" t="s">
        <v>49</v>
      </c>
      <c r="H38" s="127"/>
      <c r="I38" s="128">
        <f>I39*F36</f>
        <v>76.14642572791584</v>
      </c>
      <c r="J38" s="153">
        <f>IF(F40=0,0,SUM(J28:J29,J34:J36))</f>
        <v>1.0000000000000002</v>
      </c>
      <c r="K38" s="50"/>
      <c r="L38" s="67">
        <f>L39*F38</f>
        <v>59.53561104412839</v>
      </c>
      <c r="M38" s="134">
        <f>M39*F38</f>
        <v>13.571011079141675</v>
      </c>
      <c r="N38" s="135">
        <f>N39*F38</f>
        <v>3.0398036046457872</v>
      </c>
      <c r="O38" s="8"/>
      <c r="R38" s="8"/>
      <c r="S38" s="205"/>
    </row>
    <row r="39" spans="1:19" ht="19.5" customHeight="1" thickBot="1">
      <c r="A39" s="6"/>
      <c r="B39" s="6"/>
      <c r="C39" s="410" t="s">
        <v>101</v>
      </c>
      <c r="D39" s="411"/>
      <c r="E39" s="411"/>
      <c r="F39" s="373">
        <v>1</v>
      </c>
      <c r="G39" s="81" t="s">
        <v>49</v>
      </c>
      <c r="H39" s="129"/>
      <c r="I39" s="130">
        <f>IF(C36="","Select service",IF(F36=0,"0.0",IF(G28="","Select G11",(SUM(I28:I29,I34:I36)/F36))))</f>
        <v>442.0435720882145</v>
      </c>
      <c r="J39" s="153"/>
      <c r="K39" s="6"/>
      <c r="L39" s="130">
        <f>IF(I39="0.0",0,SUM(L28:L29,L34:L36)/F36)</f>
        <v>345.6148324865226</v>
      </c>
      <c r="M39" s="131">
        <f>IF(I39="0.0",0,SUM(M28:M29,M34:M36)/F36)</f>
        <v>78.78213792605175</v>
      </c>
      <c r="N39" s="132">
        <f>IF(I39="0.0",0,SUM(N28:N29,N34:N36)/F36)</f>
        <v>17.646601675640234</v>
      </c>
      <c r="O39" s="8"/>
      <c r="R39" s="8"/>
      <c r="S39" s="205"/>
    </row>
    <row r="40" spans="1:19" ht="15.75" thickBot="1">
      <c r="A40" s="6"/>
      <c r="B40" s="6"/>
      <c r="C40" s="6"/>
      <c r="D40" s="6"/>
      <c r="F40" s="105">
        <f>IF(SUM(F28:F35)=0,0,IF(G28="Wheelbarrow(s)",((F28*65/1000*1400)+(F29*33/1000*1515))/(((F28*65/1000*1400)+(F29*33/1000*1515))*(1000/(((F28*65)+(F29*33))*0.66))),IF(G28="litres",(((F28/1000*1400)+(F29*33/1000*1515))/(((F28*65/1000*1400)+(F29*33/1000*1515))*(1000/(((F28*65)+(F29*33))*0.66)))))))</f>
        <v>0.17226000000000002</v>
      </c>
      <c r="I40" s="86"/>
      <c r="J40" s="4"/>
      <c r="S40" s="205"/>
    </row>
    <row r="41" spans="1:19" ht="19.5" customHeight="1" thickBot="1">
      <c r="A41" s="6"/>
      <c r="B41" s="94" t="str">
        <f>IF(C36="","No Selection",C36)</f>
        <v>Site mixed concrete</v>
      </c>
      <c r="C41" s="95" t="s">
        <v>50</v>
      </c>
      <c r="D41" s="269">
        <v>1</v>
      </c>
      <c r="E41" s="96" t="s">
        <v>51</v>
      </c>
      <c r="F41" s="268">
        <f>IF(I39="0.0",0,IF(G28="Wheelbarrow(s)",SUM((((F28*65/1000*1400)+(F29*33/1000*1515))*(1000/(((F28*65)+(F29*33))*0.66)))+F34/F40),IF(G28="litres",(SUM((((F28/1000*1400)+(F29*33/1000*1515))*(1000/(((F28)+(F29*33))*0.66)))+F34/F40)))))</f>
        <v>2375.2734238941134</v>
      </c>
      <c r="G41" s="70" t="str">
        <f>IF(F41=0,"",IF(G28="m3","",IF(ABS(F41-2400)/2400&gt;10%,"Note: High 10% variation from industry average density of 2400 kg/m3.","Note: Density close to industry rule of thumb of 2400 kg/m3.")))</f>
        <v>Note: Density close to industry rule of thumb of 2400 kg/m3.</v>
      </c>
      <c r="H41" s="71"/>
      <c r="I41" s="71"/>
      <c r="J41" s="71"/>
      <c r="K41" s="72"/>
      <c r="L41" s="72"/>
      <c r="M41" s="72"/>
      <c r="N41" s="73"/>
      <c r="S41" s="205"/>
    </row>
    <row r="42" spans="1:19" s="98" customFormat="1" ht="15">
      <c r="A42" s="4"/>
      <c r="B42" s="6"/>
      <c r="C42" s="475"/>
      <c r="D42" s="475"/>
      <c r="E42" s="475"/>
      <c r="F42" s="4"/>
      <c r="G42" s="4"/>
      <c r="H42" s="101"/>
      <c r="I42" s="4"/>
      <c r="J42" s="4"/>
      <c r="K42" s="4"/>
      <c r="L42" s="4"/>
      <c r="M42" s="4"/>
      <c r="N42" s="4"/>
      <c r="O42" s="4"/>
      <c r="P42" s="4"/>
      <c r="Q42" s="4"/>
      <c r="R42" s="4"/>
      <c r="S42" s="205"/>
    </row>
    <row r="43" spans="1:19" s="98" customFormat="1" ht="15.75" thickBot="1">
      <c r="A43" s="4"/>
      <c r="B43" s="6"/>
      <c r="C43" s="6"/>
      <c r="D43" s="6"/>
      <c r="E43" s="6"/>
      <c r="F43" s="4"/>
      <c r="G43" s="4"/>
      <c r="H43" s="101"/>
      <c r="I43" s="4"/>
      <c r="J43" s="4"/>
      <c r="K43" s="4"/>
      <c r="L43" s="4"/>
      <c r="M43" s="4"/>
      <c r="N43" s="4"/>
      <c r="O43" s="4"/>
      <c r="P43" s="4"/>
      <c r="Q43" s="4"/>
      <c r="R43" s="4"/>
      <c r="S43" s="205"/>
    </row>
    <row r="44" spans="2:19" ht="13.5" customHeight="1">
      <c r="B44" s="390" t="s">
        <v>120</v>
      </c>
      <c r="C44" s="392" t="s">
        <v>123</v>
      </c>
      <c r="D44" s="393"/>
      <c r="E44" s="394"/>
      <c r="F44" s="390" t="s">
        <v>56</v>
      </c>
      <c r="G44" s="456"/>
      <c r="H44" s="456"/>
      <c r="I44" s="456"/>
      <c r="J44" s="457"/>
      <c r="L44" s="461" t="s">
        <v>52</v>
      </c>
      <c r="M44" s="462"/>
      <c r="N44" s="463"/>
      <c r="S44" s="205"/>
    </row>
    <row r="45" spans="2:19" ht="21" customHeight="1" thickBot="1">
      <c r="B45" s="391"/>
      <c r="C45" s="395"/>
      <c r="D45" s="396"/>
      <c r="E45" s="397"/>
      <c r="F45" s="458"/>
      <c r="G45" s="459"/>
      <c r="H45" s="459"/>
      <c r="I45" s="459"/>
      <c r="J45" s="460"/>
      <c r="L45" s="464"/>
      <c r="M45" s="465"/>
      <c r="N45" s="466"/>
      <c r="S45" s="205"/>
    </row>
    <row r="46" spans="2:19" ht="45" customHeight="1" thickBot="1">
      <c r="B46" s="453" t="s">
        <v>14</v>
      </c>
      <c r="C46" s="454"/>
      <c r="D46" s="454"/>
      <c r="E46" s="455"/>
      <c r="F46" s="10" t="s">
        <v>13</v>
      </c>
      <c r="G46" s="147" t="s">
        <v>12</v>
      </c>
      <c r="H46" s="136" t="s">
        <v>62</v>
      </c>
      <c r="I46" s="152" t="s">
        <v>63</v>
      </c>
      <c r="J46" s="262" t="s">
        <v>75</v>
      </c>
      <c r="K46" s="26"/>
      <c r="L46" s="210" t="s">
        <v>72</v>
      </c>
      <c r="M46" s="222" t="s">
        <v>73</v>
      </c>
      <c r="N46" s="211" t="s">
        <v>74</v>
      </c>
      <c r="S46" s="205"/>
    </row>
    <row r="47" spans="1:19" ht="15" customHeight="1">
      <c r="A47" s="435" t="s">
        <v>128</v>
      </c>
      <c r="B47" s="11">
        <v>1</v>
      </c>
      <c r="C47" s="401" t="s">
        <v>1</v>
      </c>
      <c r="D47" s="427"/>
      <c r="E47" s="428"/>
      <c r="F47" s="142">
        <v>3</v>
      </c>
      <c r="G47" s="148" t="s">
        <v>67</v>
      </c>
      <c r="H47" s="137">
        <f>IF(F47=0,"0.0 %",IF(G47="Wheelbarrow(s)",F47*65/1000*1400/F60/F59,IF(G47="Litres",F47/1000*1400/F60/F59)))</f>
        <v>0.6672131460052995</v>
      </c>
      <c r="I47" s="107">
        <f>IF(G47="Wheelbarrow(s)",((F47*65/1000*1400/1000)*'Specific Emissions'!$F$7),IF(G47="litres",((F47/1000*1400/1000)*'Specific Emissions'!$F$7)))</f>
        <v>1.4632800000000001</v>
      </c>
      <c r="J47" s="263">
        <f>IF(OR(I58="select service",I58="Select g11",I58="service quantity",I58="0.0"),0,I47/I57)</f>
        <v>0.014366879791346146</v>
      </c>
      <c r="K47" s="6"/>
      <c r="L47" s="108">
        <f>IF(G47="Wheelbarrow(s)",((F47*65/1000*1400/1000)*'Specific Emissions'!$G$7),IF(G47="litres",((F47/1000*1400/1000)*'Specific Emissions'!$G$7)))</f>
        <v>0.5214300000000001</v>
      </c>
      <c r="M47" s="109">
        <f>IF(G47="Wheelbarrow(s)",((F47*65/1000*1400/1000)*'Specific Emissions'!$H$7),IF(G47="litres",((F47/1000*1400/1000)*'Specific Emissions'!$H$7)))</f>
        <v>0.9418500000000001</v>
      </c>
      <c r="N47" s="110">
        <f>IF(G47="Wheelbarrow(s)",((F47*65/1000*1400/1000)*'Specific Emissions'!$I$7),IF(G47="litres",((F47/1000*1400/1000)*'Specific Emissions'!$I$7)))</f>
        <v>0</v>
      </c>
      <c r="O47" s="35"/>
      <c r="R47" s="35"/>
      <c r="S47" s="205"/>
    </row>
    <row r="48" spans="1:19" ht="15">
      <c r="A48" s="451"/>
      <c r="B48" s="11">
        <v>2</v>
      </c>
      <c r="C48" s="418" t="s">
        <v>18</v>
      </c>
      <c r="D48" s="419"/>
      <c r="E48" s="420"/>
      <c r="F48" s="142">
        <v>2</v>
      </c>
      <c r="G48" s="149" t="s">
        <v>68</v>
      </c>
      <c r="H48" s="138">
        <f>IF(F48=0,"0.0 %",F48*50/F60/F59)</f>
        <v>0.244400419782161</v>
      </c>
      <c r="I48" s="107">
        <f>(IF(C48="","0.0",VLOOKUP(C48,ManufacturedTypesTable,6,FALSE)*(F48*50/1000)))</f>
        <v>98.53744161609943</v>
      </c>
      <c r="J48" s="234">
        <f>IF(OR(I58="select service",I58="Select g11",I58="service quantity",I58="0.0"),0,I48/I57)</f>
        <v>0.9674673190676353</v>
      </c>
      <c r="K48" s="6"/>
      <c r="L48" s="111">
        <f>IF(C48="","0.0",VLOOKUP(C48,ManufacturedTypesTable,7,FALSE)*(F48*50/1000))</f>
        <v>81.82643141339247</v>
      </c>
      <c r="M48" s="112">
        <f>IF(C48="","0.0",VLOOKUP(C48,ManufacturedTypesTable,8,FALSE)*(F48*50/1000))</f>
        <v>14.52873826804414</v>
      </c>
      <c r="N48" s="113">
        <f>IF(C48="","0.0",VLOOKUP(C48,ManufacturedTypesTable,9,FALSE)*(F48*50/1000))</f>
        <v>2.1822719346628245</v>
      </c>
      <c r="O48" s="8"/>
      <c r="R48" s="8"/>
      <c r="S48" s="205"/>
    </row>
    <row r="49" spans="1:19" ht="12.75" customHeight="1" outlineLevel="1">
      <c r="A49" s="451"/>
      <c r="B49" s="21">
        <v>2.1</v>
      </c>
      <c r="C49" s="421" t="s">
        <v>42</v>
      </c>
      <c r="D49" s="422"/>
      <c r="E49" s="423"/>
      <c r="F49" s="143">
        <f>IF(F48=0,"0",VLOOKUP(C48,ManufacturedTypesTable,2,FALSE)*F48*50)</f>
        <v>100</v>
      </c>
      <c r="G49" s="150" t="s">
        <v>8</v>
      </c>
      <c r="H49" s="139">
        <f>IF(F49="0","0.0 %",F49/F60/F59)</f>
        <v>0.244400419782161</v>
      </c>
      <c r="I49" s="114">
        <f>(F49/1000*'Specific Emissions'!$F$23)</f>
        <v>98.53744161609943</v>
      </c>
      <c r="J49" s="264">
        <f>IF(OR(I58="select service",I58="Select g11",I58="service quantity",I58="0.0"),0,I49/I57)</f>
        <v>0.9674673190676353</v>
      </c>
      <c r="K49" s="115"/>
      <c r="L49" s="116">
        <f>F49/1000*'Specific Emissions'!$G$23</f>
        <v>81.82643141339247</v>
      </c>
      <c r="M49" s="117">
        <f>F49/1000*'Specific Emissions'!$H$23</f>
        <v>14.52873826804414</v>
      </c>
      <c r="N49" s="118">
        <f>F49/1000*'Specific Emissions'!$I$23</f>
        <v>2.1822719346628245</v>
      </c>
      <c r="O49" s="8"/>
      <c r="R49" s="8"/>
      <c r="S49" s="205"/>
    </row>
    <row r="50" spans="1:19" ht="12.75" customHeight="1" outlineLevel="1">
      <c r="A50" s="451"/>
      <c r="B50" s="21">
        <v>2.2</v>
      </c>
      <c r="C50" s="432" t="s">
        <v>69</v>
      </c>
      <c r="D50" s="433"/>
      <c r="E50" s="434"/>
      <c r="F50" s="143">
        <f>IF(F48=0,"0",VLOOKUP(C48,ManufacturedTypesTable,3,FALSE)*F48*50)</f>
        <v>0</v>
      </c>
      <c r="G50" s="150" t="s">
        <v>8</v>
      </c>
      <c r="H50" s="139">
        <f>IF(F50="0","0.0 %",F50/F60/F59)</f>
        <v>0</v>
      </c>
      <c r="I50" s="114">
        <f>(F50/1000*'Specific Emissions'!$F$8)</f>
        <v>0</v>
      </c>
      <c r="J50" s="264">
        <f>IF(OR(I58="select service",I58="Select g11",I58="service quantity",I58="0.0"),0,I50/I57)</f>
        <v>0</v>
      </c>
      <c r="K50" s="115"/>
      <c r="L50" s="116">
        <f>F50/1000*'Specific Emissions'!$G$8</f>
        <v>0</v>
      </c>
      <c r="M50" s="117">
        <f>F50/1000*'Specific Emissions'!$H$8</f>
        <v>0</v>
      </c>
      <c r="N50" s="118">
        <f>F50/1000*'Specific Emissions'!$I$8</f>
        <v>0</v>
      </c>
      <c r="O50" s="8"/>
      <c r="R50" s="8"/>
      <c r="S50" s="205"/>
    </row>
    <row r="51" spans="1:19" ht="12.75" customHeight="1" outlineLevel="1">
      <c r="A51" s="451"/>
      <c r="B51" s="21">
        <v>2.3</v>
      </c>
      <c r="C51" s="432" t="s">
        <v>106</v>
      </c>
      <c r="D51" s="433"/>
      <c r="E51" s="434"/>
      <c r="F51" s="143">
        <f>IF(F48=0,"0",VLOOKUP(C48,ManufacturedTypesTable,4,FALSE)*F48*50)</f>
        <v>0</v>
      </c>
      <c r="G51" s="150" t="s">
        <v>8</v>
      </c>
      <c r="H51" s="139">
        <f>IF(F51="0","0.0 %",F51/F60/F59)</f>
        <v>0</v>
      </c>
      <c r="I51" s="114">
        <f>F51/1000*'Specific Emissions'!$F$9</f>
        <v>0</v>
      </c>
      <c r="J51" s="264">
        <f>IF(OR(I58="select service",I58="Select g11",I58="service quantity",I58="0.0"),0,I51/I57)</f>
        <v>0</v>
      </c>
      <c r="K51" s="115"/>
      <c r="L51" s="116">
        <f>F51/1000*'Specific Emissions'!$G$9</f>
        <v>0</v>
      </c>
      <c r="M51" s="117">
        <f>F51/1000*'Specific Emissions'!$H$9</f>
        <v>0</v>
      </c>
      <c r="N51" s="118">
        <f>F51/1000*'Specific Emissions'!$I$9</f>
        <v>0</v>
      </c>
      <c r="O51" s="8"/>
      <c r="R51" s="8"/>
      <c r="S51" s="205"/>
    </row>
    <row r="52" spans="1:19" ht="12.75" customHeight="1" outlineLevel="1">
      <c r="A52" s="451"/>
      <c r="B52" s="21">
        <v>2.4</v>
      </c>
      <c r="C52" s="432" t="s">
        <v>107</v>
      </c>
      <c r="D52" s="433"/>
      <c r="E52" s="434"/>
      <c r="F52" s="143">
        <f>IF(F48=0,"0",VLOOKUP(C48,ManufacturedTypesTable,5,FALSE)*F48*50)</f>
        <v>0</v>
      </c>
      <c r="G52" s="150" t="s">
        <v>8</v>
      </c>
      <c r="H52" s="139">
        <f>IF(F52="0","0.0 %",F52/F60/F59)</f>
        <v>0</v>
      </c>
      <c r="I52" s="114">
        <f>F52/1000*'Specific Emissions'!$F$12</f>
        <v>0</v>
      </c>
      <c r="J52" s="264">
        <f>IF(OR(I58="select service",I58="Select g11",I58="service quantity",I58="0.0"),0,I52/I57)</f>
        <v>0</v>
      </c>
      <c r="K52" s="115"/>
      <c r="L52" s="116">
        <f>F52/1000*'Specific Emissions'!$G$12</f>
        <v>0</v>
      </c>
      <c r="M52" s="117">
        <f>F52/1000*'Specific Emissions'!$H$12</f>
        <v>0</v>
      </c>
      <c r="N52" s="118">
        <f>F52/1000*'Specific Emissions'!$I$12</f>
        <v>0</v>
      </c>
      <c r="O52" s="8"/>
      <c r="R52" s="8"/>
      <c r="S52" s="205"/>
    </row>
    <row r="53" spans="1:19" ht="15">
      <c r="A53" s="451"/>
      <c r="B53" s="6">
        <v>3</v>
      </c>
      <c r="C53" s="401" t="s">
        <v>9</v>
      </c>
      <c r="D53" s="427"/>
      <c r="E53" s="428"/>
      <c r="F53" s="144">
        <f>IF(F47=0,0,IF(C55="Site mixed concrete",210*F55,IF(C55="Site mixed plaster",240*F55,IF(C55="Site mixed mortar",300*F55,0))))</f>
        <v>36.174600000000005</v>
      </c>
      <c r="G53" s="149" t="s">
        <v>30</v>
      </c>
      <c r="H53" s="138">
        <f>IF(F53=0,"0.0 %",F53/F60/F59)</f>
        <v>0.08841087425451763</v>
      </c>
      <c r="I53" s="107">
        <f>F53/1000*'Specific Emissions'!F$10</f>
        <v>0.03364237800000001</v>
      </c>
      <c r="J53" s="234">
        <f>IF(OR(I58="select service",I58="Select g11",I58="service quantity",I58="0.0"),0,I53/I57)</f>
        <v>0.00033030998894335205</v>
      </c>
      <c r="K53" s="6"/>
      <c r="L53" s="111">
        <f>F53/1000*'Specific Emissions'!G$10</f>
        <v>0.018839731680000006</v>
      </c>
      <c r="M53" s="112">
        <f>F53/1000*'Specific Emissions'!H$10</f>
        <v>0.014802646320000003</v>
      </c>
      <c r="N53" s="113">
        <f>F53/1000*'Specific Emissions'!I$10</f>
        <v>0</v>
      </c>
      <c r="O53" s="8"/>
      <c r="R53" s="8"/>
      <c r="S53" s="205"/>
    </row>
    <row r="54" spans="1:19" ht="15.75" thickBot="1">
      <c r="A54" s="452"/>
      <c r="B54" s="11">
        <v>4</v>
      </c>
      <c r="C54" s="398" t="s">
        <v>108</v>
      </c>
      <c r="D54" s="399"/>
      <c r="E54" s="400"/>
      <c r="F54" s="145">
        <v>0</v>
      </c>
      <c r="G54" s="149" t="s">
        <v>8</v>
      </c>
      <c r="H54" s="140" t="str">
        <f>IF(F54=0,"0.0 %",F54/F60/F59)</f>
        <v>0.0 %</v>
      </c>
      <c r="I54" s="119">
        <f>F54/1000*'Specific Emissions'!F$11</f>
        <v>0</v>
      </c>
      <c r="J54" s="265">
        <f>IF(OR(I58="select service",I58="Select g11",I58="service quantity",I58="0.0"),0,I54/I57)</f>
        <v>0</v>
      </c>
      <c r="K54" s="6"/>
      <c r="L54" s="120">
        <f>F54/1000*'Specific Emissions'!G$11</f>
        <v>0</v>
      </c>
      <c r="M54" s="121">
        <f>F54/1000*'Specific Emissions'!H$11</f>
        <v>0</v>
      </c>
      <c r="N54" s="122">
        <f>F54/1000*'Specific Emissions'!I$11</f>
        <v>0</v>
      </c>
      <c r="O54" s="8"/>
      <c r="R54" s="8"/>
      <c r="S54" s="205"/>
    </row>
    <row r="55" spans="1:19" ht="18" thickBot="1">
      <c r="A55" s="90" t="s">
        <v>10</v>
      </c>
      <c r="B55" s="91">
        <v>5</v>
      </c>
      <c r="C55" s="467" t="s">
        <v>58</v>
      </c>
      <c r="D55" s="468"/>
      <c r="E55" s="469"/>
      <c r="F55" s="146">
        <f>IF(SUM(F47:F52)=0,0,IF(G47="Wheelbarrow(s)",((F47*65/1000*1400)+(F48*33/1000*1515))/(((F47*65/1000*1400)+(F48*33/1000*1515))*(1000/(((F47*65)+(F48*33))*0.66))),IF(G47="litres",(((F47/1000*1400)+(F48*33/1000*1515))/(((F47*65/1000*1400)+(F48*33/1000*1515))*(1000/(((F47*65)+(F48*33))*0.66)))))))</f>
        <v>0.17226000000000002</v>
      </c>
      <c r="G55" s="151" t="s">
        <v>27</v>
      </c>
      <c r="H55" s="141">
        <f>IF(OR(F59="0",F59=0,F59=""),"0.0 %",SUM(H47:H48,H53:H54))</f>
        <v>1.000024440041978</v>
      </c>
      <c r="I55" s="123">
        <f>IF(C55="","0.0",VLOOKUP("Mixed Concrete",PrecastCementTypes,4,FALSE)*F59)</f>
        <v>1.8165612764943528</v>
      </c>
      <c r="J55" s="266">
        <f>IF(OR(I58="select service",I58="Select g11",I58="service quantity",I58="0.0"),0,I55/I57)</f>
        <v>0.01783549115207525</v>
      </c>
      <c r="K55" s="6"/>
      <c r="L55" s="124">
        <f>IF(C55="","0.0",VLOOKUP("mixed concrete",PrecastCementTypes,5,FALSE)*F59)</f>
        <v>0.12715370700433865</v>
      </c>
      <c r="M55" s="125">
        <f>IF(C55="","0.0",VLOOKUP("mixed concrete",PrecastCementTypes,6,FALSE)*F59)</f>
        <v>0.17719431910820402</v>
      </c>
      <c r="N55" s="126">
        <f>IF(C55="","0.0",VLOOKUP("mixed concrete",PrecastCementTypes,7,FALSE)*F59)</f>
        <v>1.5122132503818102</v>
      </c>
      <c r="O55" s="92"/>
      <c r="R55" s="92"/>
      <c r="S55" s="205"/>
    </row>
    <row r="56" spans="1:19" ht="3.75" customHeight="1" thickBot="1">
      <c r="A56" s="201"/>
      <c r="B56" s="6"/>
      <c r="C56" s="6"/>
      <c r="D56" s="6"/>
      <c r="E56" s="93"/>
      <c r="F56" s="93"/>
      <c r="G56" s="93"/>
      <c r="H56" s="102"/>
      <c r="I56" s="93"/>
      <c r="J56" s="93"/>
      <c r="K56" s="6"/>
      <c r="L56" s="133"/>
      <c r="M56" s="133"/>
      <c r="N56" s="133"/>
      <c r="O56" s="8"/>
      <c r="R56" s="8"/>
      <c r="S56" s="205"/>
    </row>
    <row r="57" spans="1:19" ht="19.5" customHeight="1" thickBot="1">
      <c r="A57" s="50"/>
      <c r="B57" s="50"/>
      <c r="C57" s="410" t="s">
        <v>100</v>
      </c>
      <c r="D57" s="411"/>
      <c r="E57" s="411"/>
      <c r="F57" s="104">
        <f>F55</f>
        <v>0.17226000000000002</v>
      </c>
      <c r="G57" s="81" t="s">
        <v>49</v>
      </c>
      <c r="H57" s="127"/>
      <c r="I57" s="128">
        <f>I58*F55</f>
        <v>101.85092527059378</v>
      </c>
      <c r="J57" s="153">
        <f>IF(F59=0,0,SUM(J47:J48,J53:J55))</f>
        <v>1</v>
      </c>
      <c r="K57" s="50"/>
      <c r="L57" s="67">
        <f>L58*F57</f>
        <v>82.49385485207681</v>
      </c>
      <c r="M57" s="134">
        <f>M58*F57</f>
        <v>15.662585233472344</v>
      </c>
      <c r="N57" s="135">
        <f>N58*F57</f>
        <v>3.694485185044635</v>
      </c>
      <c r="O57" s="8"/>
      <c r="R57" s="8"/>
      <c r="S57" s="205"/>
    </row>
    <row r="58" spans="1:19" ht="19.5" customHeight="1" thickBot="1">
      <c r="A58" s="6"/>
      <c r="B58" s="6"/>
      <c r="C58" s="410" t="s">
        <v>101</v>
      </c>
      <c r="D58" s="411"/>
      <c r="E58" s="411"/>
      <c r="F58" s="373">
        <v>1</v>
      </c>
      <c r="G58" s="81" t="s">
        <v>49</v>
      </c>
      <c r="H58" s="129"/>
      <c r="I58" s="130">
        <f>IF(C55="","Select service",IF(F55=0,"0.0",IF(G47="","Select G11",(SUM(I47:I48,I53:I55)/F55))))</f>
        <v>591.2627729629268</v>
      </c>
      <c r="J58" s="153"/>
      <c r="K58" s="6"/>
      <c r="L58" s="130">
        <f>IF(I58="0.0",0,SUM(L47:L48,L53:L55)/F55)</f>
        <v>478.89152938625796</v>
      </c>
      <c r="M58" s="131">
        <f>IF(I58="0.0",0,SUM(M47:M48,M53:M55)/F55)</f>
        <v>90.9240986501355</v>
      </c>
      <c r="N58" s="132">
        <f>IF(I58="0.0",0,SUM(N47:N48,N53:N55)/F55)</f>
        <v>21.447144926533348</v>
      </c>
      <c r="O58" s="8"/>
      <c r="R58" s="8"/>
      <c r="S58" s="205"/>
    </row>
    <row r="59" spans="1:19" ht="15.75" thickBot="1">
      <c r="A59" s="6"/>
      <c r="B59" s="6"/>
      <c r="C59" s="6"/>
      <c r="D59" s="6"/>
      <c r="F59" s="105">
        <f>IF(SUM(F47:F54)=0,0,IF(G47="Wheelbarrow(s)",((F47*65/1000*1400)+(F48*33/1000*1515))/(((F47*65/1000*1400)+(F48*33/1000*1515))*(1000/(((F47*65)+(F48*33))*0.66))),IF(G47="litres",(((F47/1000*1400)+(F48*33/1000*1515))/(((F47*65/1000*1400)+(F48*33/1000*1515))*(1000/(((F47*65)+(F48*33))*0.66)))))))</f>
        <v>0.17226000000000002</v>
      </c>
      <c r="I59" s="86"/>
      <c r="J59" s="4"/>
      <c r="S59" s="205"/>
    </row>
    <row r="60" spans="1:19" ht="19.5" customHeight="1" thickBot="1">
      <c r="A60" s="6"/>
      <c r="B60" s="94" t="str">
        <f>IF(C55="","No Selection",C55)</f>
        <v>Site mixed concrete</v>
      </c>
      <c r="C60" s="95" t="s">
        <v>50</v>
      </c>
      <c r="D60" s="269">
        <v>1</v>
      </c>
      <c r="E60" s="96" t="s">
        <v>51</v>
      </c>
      <c r="F60" s="268">
        <f>IF(I58="0.0",0,IF(G47="Wheelbarrow(s)",SUM((((F47*65/1000*1400)+(F48*33/1000*1515))*(1000/(((F47*65)+(F48*33))*0.66)))+F53/F59),IF(G47="litres",(SUM((((F47/1000*1400)+(F48*33/1000*1515))*(1000/(((F47)+(F48*33))*0.66)))+F53/F59)))))</f>
        <v>2375.2734238941134</v>
      </c>
      <c r="G60" s="70" t="str">
        <f>IF(F60=0,"",IF(G47="m3","",IF(ABS(F60-2400)/2400&gt;10%,"Note: High 10% variation from industry average density of 2400 kg/m3.","Note: Density close to industry rule of thumb of 2400 kg/m3.")))</f>
        <v>Note: Density close to industry rule of thumb of 2400 kg/m3.</v>
      </c>
      <c r="H60" s="71"/>
      <c r="I60" s="71"/>
      <c r="J60" s="71"/>
      <c r="K60" s="72"/>
      <c r="L60" s="72"/>
      <c r="M60" s="72"/>
      <c r="N60" s="73"/>
      <c r="S60" s="205"/>
    </row>
    <row r="61" spans="2:19" ht="15">
      <c r="B61" s="6"/>
      <c r="E61" s="4"/>
      <c r="G61" s="4"/>
      <c r="H61" s="101"/>
      <c r="I61" s="4"/>
      <c r="J61" s="4"/>
      <c r="S61" s="205"/>
    </row>
    <row r="62" spans="2:19" ht="15">
      <c r="B62" s="6"/>
      <c r="E62" s="4"/>
      <c r="G62" s="4"/>
      <c r="H62" s="101"/>
      <c r="I62" s="4"/>
      <c r="J62" s="4"/>
      <c r="S62" s="205"/>
    </row>
    <row r="63" spans="3:19" ht="15">
      <c r="C63" s="6"/>
      <c r="D63" s="6"/>
      <c r="E63" s="86"/>
      <c r="G63" s="4"/>
      <c r="H63" s="101"/>
      <c r="I63" s="4"/>
      <c r="J63" s="4"/>
      <c r="S63" s="205"/>
    </row>
    <row r="64" spans="3:19" ht="15">
      <c r="C64" s="6"/>
      <c r="D64" s="6"/>
      <c r="E64" s="86"/>
      <c r="G64" s="4"/>
      <c r="S64" s="205"/>
    </row>
    <row r="65" spans="3:19" ht="15">
      <c r="C65" s="6"/>
      <c r="D65" s="6"/>
      <c r="E65" s="86"/>
      <c r="G65" s="4"/>
      <c r="S65" s="205"/>
    </row>
    <row r="66" spans="3:19" ht="15">
      <c r="C66" s="6"/>
      <c r="D66" s="6"/>
      <c r="E66" s="86"/>
      <c r="G66" s="4"/>
      <c r="S66" s="205"/>
    </row>
    <row r="67" ht="15">
      <c r="S67" s="205"/>
    </row>
    <row r="68" ht="15">
      <c r="S68" s="205"/>
    </row>
    <row r="69" ht="15">
      <c r="S69" s="205"/>
    </row>
    <row r="70" ht="15">
      <c r="S70" s="205"/>
    </row>
    <row r="71" ht="15">
      <c r="S71" s="205"/>
    </row>
    <row r="72" ht="89.25" customHeight="1">
      <c r="S72" s="205"/>
    </row>
    <row r="73" ht="185.25" customHeight="1">
      <c r="S73" s="205"/>
    </row>
    <row r="74" ht="30" customHeight="1"/>
    <row r="75" ht="15"/>
    <row r="76" spans="1:19" s="98" customFormat="1" ht="15" hidden="1">
      <c r="A76" s="479"/>
      <c r="B76" s="479"/>
      <c r="C76" s="479"/>
      <c r="D76" s="479"/>
      <c r="E76" s="479"/>
      <c r="F76" s="479"/>
      <c r="G76" s="479"/>
      <c r="H76" s="479"/>
      <c r="I76" s="479"/>
      <c r="J76" s="479"/>
      <c r="K76" s="479"/>
      <c r="L76" s="479"/>
      <c r="M76" s="479"/>
      <c r="N76" s="479"/>
      <c r="O76" s="479"/>
      <c r="P76" s="479"/>
      <c r="Q76" s="479"/>
      <c r="R76" s="479"/>
      <c r="S76" s="479"/>
    </row>
    <row r="77" spans="1:19" s="98" customFormat="1" ht="15" hidden="1">
      <c r="A77" s="479"/>
      <c r="B77" s="479"/>
      <c r="C77" s="479"/>
      <c r="D77" s="479"/>
      <c r="E77" s="479"/>
      <c r="F77" s="479"/>
      <c r="G77" s="479"/>
      <c r="H77" s="479"/>
      <c r="I77" s="479"/>
      <c r="J77" s="479"/>
      <c r="K77" s="479"/>
      <c r="L77" s="479"/>
      <c r="M77" s="479"/>
      <c r="N77" s="479"/>
      <c r="O77" s="479"/>
      <c r="P77" s="479"/>
      <c r="Q77" s="479"/>
      <c r="R77" s="479"/>
      <c r="S77" s="479"/>
    </row>
    <row r="78" spans="1:19" s="98" customFormat="1" ht="15" customHeight="1" hidden="1">
      <c r="A78" s="479"/>
      <c r="B78" s="479"/>
      <c r="C78" s="479"/>
      <c r="D78" s="479"/>
      <c r="E78" s="479"/>
      <c r="F78" s="479"/>
      <c r="G78" s="479"/>
      <c r="H78" s="479"/>
      <c r="I78" s="479"/>
      <c r="J78" s="479"/>
      <c r="K78" s="479"/>
      <c r="L78" s="479"/>
      <c r="M78" s="479"/>
      <c r="N78" s="479"/>
      <c r="O78" s="479"/>
      <c r="P78" s="479"/>
      <c r="Q78" s="479"/>
      <c r="R78" s="479"/>
      <c r="S78" s="479"/>
    </row>
    <row r="79" spans="1:19" s="98" customFormat="1" ht="15" hidden="1">
      <c r="A79" s="479"/>
      <c r="B79" s="479"/>
      <c r="C79" s="479"/>
      <c r="D79" s="479"/>
      <c r="E79" s="479"/>
      <c r="F79" s="479"/>
      <c r="G79" s="479"/>
      <c r="H79" s="479"/>
      <c r="I79" s="479"/>
      <c r="J79" s="479"/>
      <c r="K79" s="479"/>
      <c r="L79" s="479"/>
      <c r="M79" s="479"/>
      <c r="N79" s="479"/>
      <c r="O79" s="479"/>
      <c r="P79" s="479"/>
      <c r="Q79" s="479"/>
      <c r="R79" s="479"/>
      <c r="S79" s="479"/>
    </row>
    <row r="80" spans="1:19" s="98" customFormat="1" ht="15" hidden="1">
      <c r="A80" s="479"/>
      <c r="B80" s="479"/>
      <c r="C80" s="479"/>
      <c r="D80" s="479"/>
      <c r="E80" s="479"/>
      <c r="F80" s="479"/>
      <c r="G80" s="479"/>
      <c r="H80" s="479"/>
      <c r="I80" s="479"/>
      <c r="J80" s="479"/>
      <c r="K80" s="479"/>
      <c r="L80" s="479"/>
      <c r="M80" s="479"/>
      <c r="N80" s="479"/>
      <c r="O80" s="479"/>
      <c r="P80" s="479"/>
      <c r="Q80" s="479"/>
      <c r="R80" s="479"/>
      <c r="S80" s="479"/>
    </row>
    <row r="81" spans="1:19" s="98" customFormat="1" ht="15" hidden="1">
      <c r="A81" s="479"/>
      <c r="B81" s="479"/>
      <c r="C81" s="479"/>
      <c r="D81" s="479"/>
      <c r="E81" s="479"/>
      <c r="F81" s="479"/>
      <c r="G81" s="479"/>
      <c r="H81" s="479"/>
      <c r="I81" s="479"/>
      <c r="J81" s="479"/>
      <c r="K81" s="479"/>
      <c r="L81" s="479"/>
      <c r="M81" s="479"/>
      <c r="N81" s="479"/>
      <c r="O81" s="479"/>
      <c r="P81" s="479"/>
      <c r="Q81" s="479"/>
      <c r="R81" s="479"/>
      <c r="S81" s="479"/>
    </row>
    <row r="82" spans="1:19" s="98" customFormat="1" ht="15" hidden="1">
      <c r="A82" s="479"/>
      <c r="B82" s="479"/>
      <c r="C82" s="479"/>
      <c r="D82" s="479"/>
      <c r="E82" s="479"/>
      <c r="F82" s="479"/>
      <c r="G82" s="479"/>
      <c r="H82" s="479"/>
      <c r="I82" s="479"/>
      <c r="J82" s="479"/>
      <c r="K82" s="479"/>
      <c r="L82" s="479"/>
      <c r="M82" s="479"/>
      <c r="N82" s="479"/>
      <c r="O82" s="479"/>
      <c r="P82" s="479"/>
      <c r="Q82" s="479"/>
      <c r="R82" s="479"/>
      <c r="S82" s="479"/>
    </row>
    <row r="83" spans="1:19" s="98" customFormat="1" ht="15" hidden="1">
      <c r="A83" s="479"/>
      <c r="B83" s="479"/>
      <c r="C83" s="479"/>
      <c r="D83" s="479"/>
      <c r="E83" s="479"/>
      <c r="F83" s="479"/>
      <c r="G83" s="479"/>
      <c r="H83" s="479"/>
      <c r="I83" s="479"/>
      <c r="J83" s="479"/>
      <c r="K83" s="479"/>
      <c r="L83" s="479"/>
      <c r="M83" s="479"/>
      <c r="N83" s="479"/>
      <c r="O83" s="479"/>
      <c r="P83" s="479"/>
      <c r="Q83" s="479"/>
      <c r="R83" s="479"/>
      <c r="S83" s="479"/>
    </row>
    <row r="84" spans="1:19" s="98" customFormat="1" ht="15" hidden="1">
      <c r="A84" s="479"/>
      <c r="B84" s="479"/>
      <c r="C84" s="479"/>
      <c r="D84" s="479"/>
      <c r="E84" s="479"/>
      <c r="F84" s="479"/>
      <c r="G84" s="479"/>
      <c r="H84" s="479"/>
      <c r="I84" s="479"/>
      <c r="J84" s="479"/>
      <c r="K84" s="479"/>
      <c r="L84" s="479"/>
      <c r="M84" s="479"/>
      <c r="N84" s="479"/>
      <c r="O84" s="479"/>
      <c r="P84" s="479"/>
      <c r="Q84" s="479"/>
      <c r="R84" s="479"/>
      <c r="S84" s="479"/>
    </row>
    <row r="85" spans="1:19" s="98" customFormat="1" ht="15" hidden="1">
      <c r="A85" s="479"/>
      <c r="B85" s="479"/>
      <c r="C85" s="479"/>
      <c r="D85" s="479"/>
      <c r="E85" s="479"/>
      <c r="F85" s="479"/>
      <c r="G85" s="479"/>
      <c r="H85" s="479"/>
      <c r="I85" s="479"/>
      <c r="J85" s="479"/>
      <c r="K85" s="479"/>
      <c r="L85" s="479"/>
      <c r="M85" s="479"/>
      <c r="N85" s="479"/>
      <c r="O85" s="479"/>
      <c r="P85" s="479"/>
      <c r="Q85" s="479"/>
      <c r="R85" s="479"/>
      <c r="S85" s="479"/>
    </row>
    <row r="86" spans="1:19" s="98" customFormat="1" ht="15" hidden="1">
      <c r="A86" s="479"/>
      <c r="B86" s="479"/>
      <c r="C86" s="479"/>
      <c r="D86" s="479"/>
      <c r="E86" s="479"/>
      <c r="F86" s="479"/>
      <c r="G86" s="479"/>
      <c r="H86" s="479"/>
      <c r="I86" s="479"/>
      <c r="J86" s="479"/>
      <c r="K86" s="479"/>
      <c r="L86" s="479"/>
      <c r="M86" s="479"/>
      <c r="N86" s="479"/>
      <c r="O86" s="479"/>
      <c r="P86" s="479"/>
      <c r="Q86" s="479"/>
      <c r="R86" s="479"/>
      <c r="S86" s="479"/>
    </row>
    <row r="87" spans="1:19" s="98" customFormat="1" ht="15" hidden="1">
      <c r="A87" s="479"/>
      <c r="B87" s="479"/>
      <c r="C87" s="479"/>
      <c r="D87" s="479"/>
      <c r="E87" s="479"/>
      <c r="F87" s="479"/>
      <c r="G87" s="479"/>
      <c r="H87" s="479"/>
      <c r="I87" s="479"/>
      <c r="J87" s="479"/>
      <c r="K87" s="479"/>
      <c r="L87" s="479"/>
      <c r="M87" s="479"/>
      <c r="N87" s="479"/>
      <c r="O87" s="479"/>
      <c r="P87" s="479"/>
      <c r="Q87" s="479"/>
      <c r="R87" s="479"/>
      <c r="S87" s="479"/>
    </row>
    <row r="88" spans="1:19" s="98" customFormat="1" ht="15" hidden="1">
      <c r="A88" s="479"/>
      <c r="B88" s="479"/>
      <c r="C88" s="479"/>
      <c r="D88" s="479"/>
      <c r="E88" s="479"/>
      <c r="F88" s="479"/>
      <c r="G88" s="479"/>
      <c r="H88" s="479"/>
      <c r="I88" s="479"/>
      <c r="J88" s="479"/>
      <c r="K88" s="479"/>
      <c r="L88" s="479"/>
      <c r="M88" s="479"/>
      <c r="N88" s="479"/>
      <c r="O88" s="479"/>
      <c r="P88" s="479"/>
      <c r="Q88" s="479"/>
      <c r="R88" s="479"/>
      <c r="S88" s="479"/>
    </row>
    <row r="89" spans="1:19" s="98" customFormat="1" ht="15" hidden="1">
      <c r="A89" s="479"/>
      <c r="B89" s="479"/>
      <c r="C89" s="479"/>
      <c r="D89" s="479"/>
      <c r="E89" s="479"/>
      <c r="F89" s="479"/>
      <c r="G89" s="479"/>
      <c r="H89" s="479"/>
      <c r="I89" s="479"/>
      <c r="J89" s="479"/>
      <c r="K89" s="479"/>
      <c r="L89" s="479"/>
      <c r="M89" s="479"/>
      <c r="N89" s="479"/>
      <c r="O89" s="479"/>
      <c r="P89" s="479"/>
      <c r="Q89" s="479"/>
      <c r="R89" s="479"/>
      <c r="S89" s="479"/>
    </row>
    <row r="90" spans="1:19" s="98" customFormat="1" ht="15" hidden="1">
      <c r="A90" s="479"/>
      <c r="B90" s="479"/>
      <c r="C90" s="479"/>
      <c r="D90" s="479"/>
      <c r="E90" s="479"/>
      <c r="F90" s="479"/>
      <c r="G90" s="479"/>
      <c r="H90" s="479"/>
      <c r="I90" s="479"/>
      <c r="J90" s="479"/>
      <c r="K90" s="479"/>
      <c r="L90" s="479"/>
      <c r="M90" s="479"/>
      <c r="N90" s="479"/>
      <c r="O90" s="479"/>
      <c r="P90" s="479"/>
      <c r="Q90" s="479"/>
      <c r="R90" s="479"/>
      <c r="S90" s="479"/>
    </row>
    <row r="91" spans="1:19" s="98" customFormat="1" ht="15" hidden="1">
      <c r="A91" s="479"/>
      <c r="B91" s="479"/>
      <c r="C91" s="479"/>
      <c r="D91" s="479"/>
      <c r="E91" s="479"/>
      <c r="F91" s="479"/>
      <c r="G91" s="479"/>
      <c r="H91" s="479"/>
      <c r="I91" s="479"/>
      <c r="J91" s="479"/>
      <c r="K91" s="479"/>
      <c r="L91" s="479"/>
      <c r="M91" s="479"/>
      <c r="N91" s="479"/>
      <c r="O91" s="479"/>
      <c r="P91" s="479"/>
      <c r="Q91" s="479"/>
      <c r="R91" s="479"/>
      <c r="S91" s="479"/>
    </row>
    <row r="92" spans="1:19" s="98" customFormat="1" ht="15" hidden="1">
      <c r="A92" s="479"/>
      <c r="B92" s="479"/>
      <c r="C92" s="479"/>
      <c r="D92" s="479"/>
      <c r="E92" s="479"/>
      <c r="F92" s="479"/>
      <c r="G92" s="479"/>
      <c r="H92" s="479"/>
      <c r="I92" s="479"/>
      <c r="J92" s="479"/>
      <c r="K92" s="479"/>
      <c r="L92" s="479"/>
      <c r="M92" s="479"/>
      <c r="N92" s="479"/>
      <c r="O92" s="479"/>
      <c r="P92" s="479"/>
      <c r="Q92" s="479"/>
      <c r="R92" s="479"/>
      <c r="S92" s="479"/>
    </row>
    <row r="93" spans="1:19" s="98" customFormat="1" ht="15" hidden="1">
      <c r="A93" s="479"/>
      <c r="B93" s="479"/>
      <c r="C93" s="479"/>
      <c r="D93" s="479"/>
      <c r="E93" s="479"/>
      <c r="F93" s="479"/>
      <c r="G93" s="479"/>
      <c r="H93" s="479"/>
      <c r="I93" s="479"/>
      <c r="J93" s="479"/>
      <c r="K93" s="479"/>
      <c r="L93" s="479"/>
      <c r="M93" s="479"/>
      <c r="N93" s="479"/>
      <c r="O93" s="479"/>
      <c r="P93" s="479"/>
      <c r="Q93" s="479"/>
      <c r="R93" s="479"/>
      <c r="S93" s="479"/>
    </row>
    <row r="94" spans="1:19" s="98" customFormat="1" ht="15" hidden="1">
      <c r="A94" s="479"/>
      <c r="B94" s="479"/>
      <c r="C94" s="479"/>
      <c r="D94" s="479"/>
      <c r="E94" s="479"/>
      <c r="F94" s="479"/>
      <c r="G94" s="479"/>
      <c r="H94" s="479"/>
      <c r="I94" s="479"/>
      <c r="J94" s="479"/>
      <c r="K94" s="479"/>
      <c r="L94" s="479"/>
      <c r="M94" s="479"/>
      <c r="N94" s="479"/>
      <c r="O94" s="479"/>
      <c r="P94" s="479"/>
      <c r="Q94" s="479"/>
      <c r="R94" s="479"/>
      <c r="S94" s="479"/>
    </row>
    <row r="95" spans="1:19" s="98" customFormat="1" ht="15" hidden="1">
      <c r="A95" s="479"/>
      <c r="B95" s="479"/>
      <c r="C95" s="479"/>
      <c r="D95" s="479"/>
      <c r="E95" s="479"/>
      <c r="F95" s="479"/>
      <c r="G95" s="479"/>
      <c r="H95" s="479"/>
      <c r="I95" s="479"/>
      <c r="J95" s="479"/>
      <c r="K95" s="479"/>
      <c r="L95" s="479"/>
      <c r="M95" s="479"/>
      <c r="N95" s="479"/>
      <c r="O95" s="479"/>
      <c r="P95" s="479"/>
      <c r="Q95" s="479"/>
      <c r="R95" s="479"/>
      <c r="S95" s="479"/>
    </row>
    <row r="96" spans="1:19" s="98" customFormat="1" ht="15" hidden="1">
      <c r="A96" s="479"/>
      <c r="B96" s="479"/>
      <c r="C96" s="479"/>
      <c r="D96" s="479"/>
      <c r="E96" s="479"/>
      <c r="F96" s="479"/>
      <c r="G96" s="479"/>
      <c r="H96" s="479"/>
      <c r="I96" s="479"/>
      <c r="J96" s="479"/>
      <c r="K96" s="479"/>
      <c r="L96" s="479"/>
      <c r="M96" s="479"/>
      <c r="N96" s="479"/>
      <c r="O96" s="479"/>
      <c r="P96" s="479"/>
      <c r="Q96" s="479"/>
      <c r="R96" s="479"/>
      <c r="S96" s="479"/>
    </row>
    <row r="97" spans="1:19" s="98" customFormat="1" ht="15" customHeight="1" hidden="1">
      <c r="A97" s="479"/>
      <c r="B97" s="479"/>
      <c r="C97" s="479"/>
      <c r="D97" s="479"/>
      <c r="E97" s="479"/>
      <c r="F97" s="479"/>
      <c r="G97" s="479"/>
      <c r="H97" s="479"/>
      <c r="I97" s="479"/>
      <c r="J97" s="479"/>
      <c r="K97" s="479"/>
      <c r="L97" s="479"/>
      <c r="M97" s="479"/>
      <c r="N97" s="479"/>
      <c r="O97" s="479"/>
      <c r="P97" s="479"/>
      <c r="Q97" s="479"/>
      <c r="R97" s="479"/>
      <c r="S97" s="479"/>
    </row>
    <row r="98" spans="1:19" s="98" customFormat="1" ht="15" customHeight="1" hidden="1">
      <c r="A98" s="479"/>
      <c r="B98" s="479"/>
      <c r="C98" s="479"/>
      <c r="D98" s="479"/>
      <c r="E98" s="479"/>
      <c r="F98" s="479"/>
      <c r="G98" s="479"/>
      <c r="H98" s="479"/>
      <c r="I98" s="479"/>
      <c r="J98" s="479"/>
      <c r="K98" s="479"/>
      <c r="L98" s="479"/>
      <c r="M98" s="479"/>
      <c r="N98" s="479"/>
      <c r="O98" s="479"/>
      <c r="P98" s="479"/>
      <c r="Q98" s="479"/>
      <c r="R98" s="479"/>
      <c r="S98" s="479"/>
    </row>
    <row r="99" spans="1:19" s="98" customFormat="1" ht="15" hidden="1">
      <c r="A99" s="479"/>
      <c r="B99" s="479"/>
      <c r="C99" s="479"/>
      <c r="D99" s="479"/>
      <c r="E99" s="479"/>
      <c r="F99" s="479"/>
      <c r="G99" s="479"/>
      <c r="H99" s="479"/>
      <c r="I99" s="479"/>
      <c r="J99" s="479"/>
      <c r="K99" s="479"/>
      <c r="L99" s="479"/>
      <c r="M99" s="479"/>
      <c r="N99" s="479"/>
      <c r="O99" s="479"/>
      <c r="P99" s="479"/>
      <c r="Q99" s="479"/>
      <c r="R99" s="479"/>
      <c r="S99" s="479"/>
    </row>
    <row r="100" spans="1:19" s="98" customFormat="1" ht="15" customHeight="1" hidden="1">
      <c r="A100" s="479"/>
      <c r="B100" s="479"/>
      <c r="C100" s="479"/>
      <c r="D100" s="479"/>
      <c r="E100" s="479"/>
      <c r="F100" s="479"/>
      <c r="G100" s="479"/>
      <c r="H100" s="479"/>
      <c r="I100" s="479"/>
      <c r="J100" s="479"/>
      <c r="K100" s="479"/>
      <c r="L100" s="479"/>
      <c r="M100" s="479"/>
      <c r="N100" s="479"/>
      <c r="O100" s="479"/>
      <c r="P100" s="479"/>
      <c r="Q100" s="479"/>
      <c r="R100" s="479"/>
      <c r="S100" s="479"/>
    </row>
    <row r="101" spans="1:19" s="98" customFormat="1" ht="15" hidden="1">
      <c r="A101" s="479"/>
      <c r="B101" s="479"/>
      <c r="C101" s="479"/>
      <c r="D101" s="479"/>
      <c r="E101" s="479"/>
      <c r="F101" s="479"/>
      <c r="G101" s="479"/>
      <c r="H101" s="479"/>
      <c r="I101" s="479"/>
      <c r="J101" s="479"/>
      <c r="K101" s="479"/>
      <c r="L101" s="479"/>
      <c r="M101" s="479"/>
      <c r="N101" s="479"/>
      <c r="O101" s="479"/>
      <c r="P101" s="479"/>
      <c r="Q101" s="479"/>
      <c r="R101" s="479"/>
      <c r="S101" s="479"/>
    </row>
    <row r="102" spans="1:19" s="98" customFormat="1" ht="15" hidden="1">
      <c r="A102" s="479"/>
      <c r="B102" s="479"/>
      <c r="C102" s="479"/>
      <c r="D102" s="479"/>
      <c r="E102" s="479"/>
      <c r="F102" s="479"/>
      <c r="G102" s="479"/>
      <c r="H102" s="479"/>
      <c r="I102" s="479"/>
      <c r="J102" s="479"/>
      <c r="K102" s="479"/>
      <c r="L102" s="479"/>
      <c r="M102" s="479"/>
      <c r="N102" s="479"/>
      <c r="O102" s="479"/>
      <c r="P102" s="479"/>
      <c r="Q102" s="479"/>
      <c r="R102" s="479"/>
      <c r="S102" s="479"/>
    </row>
    <row r="103" spans="1:19" s="98" customFormat="1" ht="15" hidden="1">
      <c r="A103" s="479"/>
      <c r="B103" s="479"/>
      <c r="C103" s="479"/>
      <c r="D103" s="479"/>
      <c r="E103" s="479"/>
      <c r="F103" s="479"/>
      <c r="G103" s="479"/>
      <c r="H103" s="479"/>
      <c r="I103" s="479"/>
      <c r="J103" s="479"/>
      <c r="K103" s="479"/>
      <c r="L103" s="479"/>
      <c r="M103" s="479"/>
      <c r="N103" s="479"/>
      <c r="O103" s="479"/>
      <c r="P103" s="479"/>
      <c r="Q103" s="479"/>
      <c r="R103" s="479"/>
      <c r="S103" s="479"/>
    </row>
    <row r="104" spans="1:19" s="98" customFormat="1" ht="15" hidden="1">
      <c r="A104" s="479"/>
      <c r="B104" s="479"/>
      <c r="C104" s="479"/>
      <c r="D104" s="479"/>
      <c r="E104" s="479"/>
      <c r="F104" s="479"/>
      <c r="G104" s="479"/>
      <c r="H104" s="479"/>
      <c r="I104" s="479"/>
      <c r="J104" s="479"/>
      <c r="K104" s="479"/>
      <c r="L104" s="479"/>
      <c r="M104" s="479"/>
      <c r="N104" s="479"/>
      <c r="O104" s="479"/>
      <c r="P104" s="479"/>
      <c r="Q104" s="479"/>
      <c r="R104" s="479"/>
      <c r="S104" s="479"/>
    </row>
    <row r="105" spans="1:19" s="98" customFormat="1" ht="15" hidden="1">
      <c r="A105" s="479"/>
      <c r="B105" s="479"/>
      <c r="C105" s="479"/>
      <c r="D105" s="479"/>
      <c r="E105" s="479"/>
      <c r="F105" s="479"/>
      <c r="G105" s="479"/>
      <c r="H105" s="479"/>
      <c r="I105" s="479"/>
      <c r="J105" s="479"/>
      <c r="K105" s="479"/>
      <c r="L105" s="479"/>
      <c r="M105" s="479"/>
      <c r="N105" s="479"/>
      <c r="O105" s="479"/>
      <c r="P105" s="479"/>
      <c r="Q105" s="479"/>
      <c r="R105" s="479"/>
      <c r="S105" s="479"/>
    </row>
    <row r="106" spans="1:19" s="98" customFormat="1" ht="15" customHeight="1" hidden="1">
      <c r="A106" s="479"/>
      <c r="B106" s="479"/>
      <c r="C106" s="479"/>
      <c r="D106" s="479"/>
      <c r="E106" s="479"/>
      <c r="F106" s="479"/>
      <c r="G106" s="479"/>
      <c r="H106" s="479"/>
      <c r="I106" s="479"/>
      <c r="J106" s="479"/>
      <c r="K106" s="479"/>
      <c r="L106" s="479"/>
      <c r="M106" s="479"/>
      <c r="N106" s="479"/>
      <c r="O106" s="479"/>
      <c r="P106" s="479"/>
      <c r="Q106" s="479"/>
      <c r="R106" s="479"/>
      <c r="S106" s="479"/>
    </row>
    <row r="107" spans="1:19" s="98" customFormat="1" ht="15" customHeight="1" hidden="1">
      <c r="A107" s="479"/>
      <c r="B107" s="479"/>
      <c r="C107" s="479"/>
      <c r="D107" s="479"/>
      <c r="E107" s="479"/>
      <c r="F107" s="479"/>
      <c r="G107" s="479"/>
      <c r="H107" s="479"/>
      <c r="I107" s="479"/>
      <c r="J107" s="479"/>
      <c r="K107" s="479"/>
      <c r="L107" s="479"/>
      <c r="M107" s="479"/>
      <c r="N107" s="479"/>
      <c r="O107" s="479"/>
      <c r="P107" s="479"/>
      <c r="Q107" s="479"/>
      <c r="R107" s="479"/>
      <c r="S107" s="479"/>
    </row>
    <row r="108" spans="1:19" s="98" customFormat="1" ht="14.25" customHeight="1" hidden="1">
      <c r="A108" s="479"/>
      <c r="B108" s="479"/>
      <c r="C108" s="479"/>
      <c r="D108" s="479"/>
      <c r="E108" s="479"/>
      <c r="F108" s="479"/>
      <c r="G108" s="479"/>
      <c r="H108" s="479"/>
      <c r="I108" s="479"/>
      <c r="J108" s="479"/>
      <c r="K108" s="479"/>
      <c r="L108" s="479"/>
      <c r="M108" s="479"/>
      <c r="N108" s="479"/>
      <c r="O108" s="479"/>
      <c r="P108" s="479"/>
      <c r="Q108" s="479"/>
      <c r="R108" s="479"/>
      <c r="S108" s="479"/>
    </row>
    <row r="109" spans="1:19" s="98" customFormat="1" ht="14.25" customHeight="1" hidden="1">
      <c r="A109" s="479"/>
      <c r="B109" s="479"/>
      <c r="C109" s="479"/>
      <c r="D109" s="479"/>
      <c r="E109" s="479"/>
      <c r="F109" s="479"/>
      <c r="G109" s="479"/>
      <c r="H109" s="479"/>
      <c r="I109" s="479"/>
      <c r="J109" s="479"/>
      <c r="K109" s="479"/>
      <c r="L109" s="479"/>
      <c r="M109" s="479"/>
      <c r="N109" s="479"/>
      <c r="O109" s="479"/>
      <c r="P109" s="479"/>
      <c r="Q109" s="479"/>
      <c r="R109" s="479"/>
      <c r="S109" s="479"/>
    </row>
    <row r="110" spans="1:19" s="98" customFormat="1" ht="14.25" customHeight="1" hidden="1">
      <c r="A110" s="479"/>
      <c r="B110" s="479"/>
      <c r="C110" s="479"/>
      <c r="D110" s="479"/>
      <c r="E110" s="479"/>
      <c r="F110" s="479"/>
      <c r="G110" s="479"/>
      <c r="H110" s="479"/>
      <c r="I110" s="479"/>
      <c r="J110" s="479"/>
      <c r="K110" s="479"/>
      <c r="L110" s="479"/>
      <c r="M110" s="479"/>
      <c r="N110" s="479"/>
      <c r="O110" s="479"/>
      <c r="P110" s="479"/>
      <c r="Q110" s="479"/>
      <c r="R110" s="479"/>
      <c r="S110" s="479"/>
    </row>
    <row r="111" spans="1:19" s="98" customFormat="1" ht="14.25" customHeight="1" hidden="1">
      <c r="A111" s="479"/>
      <c r="B111" s="479"/>
      <c r="C111" s="479"/>
      <c r="D111" s="479"/>
      <c r="E111" s="479"/>
      <c r="F111" s="479"/>
      <c r="G111" s="479"/>
      <c r="H111" s="479"/>
      <c r="I111" s="479"/>
      <c r="J111" s="479"/>
      <c r="K111" s="479"/>
      <c r="L111" s="479"/>
      <c r="M111" s="479"/>
      <c r="N111" s="479"/>
      <c r="O111" s="479"/>
      <c r="P111" s="479"/>
      <c r="Q111" s="479"/>
      <c r="R111" s="479"/>
      <c r="S111" s="479"/>
    </row>
    <row r="112" spans="1:19" s="98" customFormat="1" ht="15" customHeight="1" hidden="1">
      <c r="A112" s="479"/>
      <c r="B112" s="479"/>
      <c r="C112" s="479"/>
      <c r="D112" s="479"/>
      <c r="E112" s="479"/>
      <c r="F112" s="479"/>
      <c r="G112" s="479"/>
      <c r="H112" s="479"/>
      <c r="I112" s="479"/>
      <c r="J112" s="479"/>
      <c r="K112" s="479"/>
      <c r="L112" s="479"/>
      <c r="M112" s="479"/>
      <c r="N112" s="479"/>
      <c r="O112" s="479"/>
      <c r="P112" s="479"/>
      <c r="Q112" s="479"/>
      <c r="R112" s="479"/>
      <c r="S112" s="479"/>
    </row>
    <row r="113" spans="1:19" s="98" customFormat="1" ht="15" hidden="1">
      <c r="A113" s="479"/>
      <c r="B113" s="479"/>
      <c r="C113" s="479"/>
      <c r="D113" s="479"/>
      <c r="E113" s="479"/>
      <c r="F113" s="479"/>
      <c r="G113" s="479"/>
      <c r="H113" s="479"/>
      <c r="I113" s="479"/>
      <c r="J113" s="479"/>
      <c r="K113" s="479"/>
      <c r="L113" s="479"/>
      <c r="M113" s="479"/>
      <c r="N113" s="479"/>
      <c r="O113" s="479"/>
      <c r="P113" s="479"/>
      <c r="Q113" s="479"/>
      <c r="R113" s="479"/>
      <c r="S113" s="479"/>
    </row>
    <row r="114" spans="1:19" s="98" customFormat="1" ht="15" hidden="1">
      <c r="A114" s="479"/>
      <c r="B114" s="479"/>
      <c r="C114" s="479"/>
      <c r="D114" s="479"/>
      <c r="E114" s="479"/>
      <c r="F114" s="479"/>
      <c r="G114" s="479"/>
      <c r="H114" s="479"/>
      <c r="I114" s="479"/>
      <c r="J114" s="479"/>
      <c r="K114" s="479"/>
      <c r="L114" s="479"/>
      <c r="M114" s="479"/>
      <c r="N114" s="479"/>
      <c r="O114" s="479"/>
      <c r="P114" s="479"/>
      <c r="Q114" s="479"/>
      <c r="R114" s="479"/>
      <c r="S114" s="479"/>
    </row>
    <row r="115" spans="1:19" s="98" customFormat="1" ht="15" hidden="1">
      <c r="A115" s="479"/>
      <c r="B115" s="479"/>
      <c r="C115" s="479"/>
      <c r="D115" s="479"/>
      <c r="E115" s="479"/>
      <c r="F115" s="479"/>
      <c r="G115" s="479"/>
      <c r="H115" s="479"/>
      <c r="I115" s="479"/>
      <c r="J115" s="479"/>
      <c r="K115" s="479"/>
      <c r="L115" s="479"/>
      <c r="M115" s="479"/>
      <c r="N115" s="479"/>
      <c r="O115" s="479"/>
      <c r="P115" s="479"/>
      <c r="Q115" s="479"/>
      <c r="R115" s="479"/>
      <c r="S115" s="479"/>
    </row>
    <row r="116" spans="1:19" s="98" customFormat="1" ht="15" hidden="1">
      <c r="A116" s="479"/>
      <c r="B116" s="479"/>
      <c r="C116" s="479"/>
      <c r="D116" s="479"/>
      <c r="E116" s="479"/>
      <c r="F116" s="479"/>
      <c r="G116" s="479"/>
      <c r="H116" s="479"/>
      <c r="I116" s="479"/>
      <c r="J116" s="479"/>
      <c r="K116" s="479"/>
      <c r="L116" s="479"/>
      <c r="M116" s="479"/>
      <c r="N116" s="479"/>
      <c r="O116" s="479"/>
      <c r="P116" s="479"/>
      <c r="Q116" s="479"/>
      <c r="R116" s="479"/>
      <c r="S116" s="479"/>
    </row>
    <row r="117" spans="1:19" s="98" customFormat="1" ht="15" hidden="1">
      <c r="A117" s="479"/>
      <c r="B117" s="479"/>
      <c r="C117" s="479"/>
      <c r="D117" s="479"/>
      <c r="E117" s="479"/>
      <c r="F117" s="479"/>
      <c r="G117" s="479"/>
      <c r="H117" s="479"/>
      <c r="I117" s="479"/>
      <c r="J117" s="479"/>
      <c r="K117" s="479"/>
      <c r="L117" s="479"/>
      <c r="M117" s="479"/>
      <c r="N117" s="479"/>
      <c r="O117" s="479"/>
      <c r="P117" s="479"/>
      <c r="Q117" s="479"/>
      <c r="R117" s="479"/>
      <c r="S117" s="479"/>
    </row>
    <row r="118" spans="1:19" s="98" customFormat="1" ht="15" hidden="1">
      <c r="A118" s="479"/>
      <c r="B118" s="479"/>
      <c r="C118" s="479"/>
      <c r="D118" s="479"/>
      <c r="E118" s="479"/>
      <c r="F118" s="479"/>
      <c r="G118" s="479"/>
      <c r="H118" s="479"/>
      <c r="I118" s="479"/>
      <c r="J118" s="479"/>
      <c r="K118" s="479"/>
      <c r="L118" s="479"/>
      <c r="M118" s="479"/>
      <c r="N118" s="479"/>
      <c r="O118" s="479"/>
      <c r="P118" s="479"/>
      <c r="Q118" s="479"/>
      <c r="R118" s="479"/>
      <c r="S118" s="479"/>
    </row>
    <row r="119" spans="1:19" s="98" customFormat="1" ht="15" customHeight="1" hidden="1">
      <c r="A119" s="479"/>
      <c r="B119" s="479"/>
      <c r="C119" s="479"/>
      <c r="D119" s="479"/>
      <c r="E119" s="479"/>
      <c r="F119" s="479"/>
      <c r="G119" s="479"/>
      <c r="H119" s="479"/>
      <c r="I119" s="479"/>
      <c r="J119" s="479"/>
      <c r="K119" s="479"/>
      <c r="L119" s="479"/>
      <c r="M119" s="479"/>
      <c r="N119" s="479"/>
      <c r="O119" s="479"/>
      <c r="P119" s="479"/>
      <c r="Q119" s="479"/>
      <c r="R119" s="479"/>
      <c r="S119" s="479"/>
    </row>
    <row r="120" spans="1:19" s="98" customFormat="1" ht="15" customHeight="1" hidden="1">
      <c r="A120" s="479"/>
      <c r="B120" s="479"/>
      <c r="C120" s="479"/>
      <c r="D120" s="479"/>
      <c r="E120" s="479"/>
      <c r="F120" s="479"/>
      <c r="G120" s="479"/>
      <c r="H120" s="479"/>
      <c r="I120" s="479"/>
      <c r="J120" s="479"/>
      <c r="K120" s="479"/>
      <c r="L120" s="479"/>
      <c r="M120" s="479"/>
      <c r="N120" s="479"/>
      <c r="O120" s="479"/>
      <c r="P120" s="479"/>
      <c r="Q120" s="479"/>
      <c r="R120" s="479"/>
      <c r="S120" s="479"/>
    </row>
    <row r="121" spans="1:19" s="98" customFormat="1" ht="15" hidden="1">
      <c r="A121" s="479"/>
      <c r="B121" s="479"/>
      <c r="C121" s="479"/>
      <c r="D121" s="479"/>
      <c r="E121" s="479"/>
      <c r="F121" s="479"/>
      <c r="G121" s="479"/>
      <c r="H121" s="479"/>
      <c r="I121" s="479"/>
      <c r="J121" s="479"/>
      <c r="K121" s="479"/>
      <c r="L121" s="479"/>
      <c r="M121" s="479"/>
      <c r="N121" s="479"/>
      <c r="O121" s="479"/>
      <c r="P121" s="479"/>
      <c r="Q121" s="479"/>
      <c r="R121" s="479"/>
      <c r="S121" s="479"/>
    </row>
    <row r="122" spans="1:19" s="98" customFormat="1" ht="15" hidden="1">
      <c r="A122" s="479"/>
      <c r="B122" s="479"/>
      <c r="C122" s="479"/>
      <c r="D122" s="479"/>
      <c r="E122" s="479"/>
      <c r="F122" s="479"/>
      <c r="G122" s="479"/>
      <c r="H122" s="479"/>
      <c r="I122" s="479"/>
      <c r="J122" s="479"/>
      <c r="K122" s="479"/>
      <c r="L122" s="479"/>
      <c r="M122" s="479"/>
      <c r="N122" s="479"/>
      <c r="O122" s="479"/>
      <c r="P122" s="479"/>
      <c r="Q122" s="479"/>
      <c r="R122" s="479"/>
      <c r="S122" s="479"/>
    </row>
    <row r="123" spans="1:19" s="98" customFormat="1" ht="15" hidden="1">
      <c r="A123" s="479"/>
      <c r="B123" s="479"/>
      <c r="C123" s="479"/>
      <c r="D123" s="479"/>
      <c r="E123" s="479"/>
      <c r="F123" s="479"/>
      <c r="G123" s="479"/>
      <c r="H123" s="479"/>
      <c r="I123" s="479"/>
      <c r="J123" s="479"/>
      <c r="K123" s="479"/>
      <c r="L123" s="479"/>
      <c r="M123" s="479"/>
      <c r="N123" s="479"/>
      <c r="O123" s="479"/>
      <c r="P123" s="479"/>
      <c r="Q123" s="479"/>
      <c r="R123" s="479"/>
      <c r="S123" s="479"/>
    </row>
    <row r="124" spans="1:19" s="98" customFormat="1" ht="15" hidden="1">
      <c r="A124" s="479"/>
      <c r="B124" s="479"/>
      <c r="C124" s="479"/>
      <c r="D124" s="479"/>
      <c r="E124" s="479"/>
      <c r="F124" s="479"/>
      <c r="G124" s="479"/>
      <c r="H124" s="479"/>
      <c r="I124" s="479"/>
      <c r="J124" s="479"/>
      <c r="K124" s="479"/>
      <c r="L124" s="479"/>
      <c r="M124" s="479"/>
      <c r="N124" s="479"/>
      <c r="O124" s="479"/>
      <c r="P124" s="479"/>
      <c r="Q124" s="479"/>
      <c r="R124" s="479"/>
      <c r="S124" s="479"/>
    </row>
    <row r="125" spans="1:19" s="98" customFormat="1" ht="15" hidden="1">
      <c r="A125" s="479"/>
      <c r="B125" s="479"/>
      <c r="C125" s="479"/>
      <c r="D125" s="479"/>
      <c r="E125" s="479"/>
      <c r="F125" s="479"/>
      <c r="G125" s="479"/>
      <c r="H125" s="479"/>
      <c r="I125" s="479"/>
      <c r="J125" s="479"/>
      <c r="K125" s="479"/>
      <c r="L125" s="479"/>
      <c r="M125" s="479"/>
      <c r="N125" s="479"/>
      <c r="O125" s="479"/>
      <c r="P125" s="479"/>
      <c r="Q125" s="479"/>
      <c r="R125" s="479"/>
      <c r="S125" s="479"/>
    </row>
    <row r="126" spans="1:19" s="98" customFormat="1" ht="15" hidden="1">
      <c r="A126" s="479"/>
      <c r="B126" s="479"/>
      <c r="C126" s="479"/>
      <c r="D126" s="479"/>
      <c r="E126" s="479"/>
      <c r="F126" s="479"/>
      <c r="G126" s="479"/>
      <c r="H126" s="479"/>
      <c r="I126" s="479"/>
      <c r="J126" s="479"/>
      <c r="K126" s="479"/>
      <c r="L126" s="479"/>
      <c r="M126" s="479"/>
      <c r="N126" s="479"/>
      <c r="O126" s="479"/>
      <c r="P126" s="479"/>
      <c r="Q126" s="479"/>
      <c r="R126" s="479"/>
      <c r="S126" s="479"/>
    </row>
    <row r="127" spans="1:19" s="98" customFormat="1" ht="15" hidden="1">
      <c r="A127" s="479"/>
      <c r="B127" s="479"/>
      <c r="C127" s="479"/>
      <c r="D127" s="479"/>
      <c r="E127" s="479"/>
      <c r="F127" s="479"/>
      <c r="G127" s="479"/>
      <c r="H127" s="479"/>
      <c r="I127" s="479"/>
      <c r="J127" s="479"/>
      <c r="K127" s="479"/>
      <c r="L127" s="479"/>
      <c r="M127" s="479"/>
      <c r="N127" s="479"/>
      <c r="O127" s="479"/>
      <c r="P127" s="479"/>
      <c r="Q127" s="479"/>
      <c r="R127" s="479"/>
      <c r="S127" s="479"/>
    </row>
    <row r="128" spans="1:19" s="98" customFormat="1" ht="15" hidden="1">
      <c r="A128" s="479"/>
      <c r="B128" s="479"/>
      <c r="C128" s="479"/>
      <c r="D128" s="479"/>
      <c r="E128" s="479"/>
      <c r="F128" s="479"/>
      <c r="G128" s="479"/>
      <c r="H128" s="479"/>
      <c r="I128" s="479"/>
      <c r="J128" s="479"/>
      <c r="K128" s="479"/>
      <c r="L128" s="479"/>
      <c r="M128" s="479"/>
      <c r="N128" s="479"/>
      <c r="O128" s="479"/>
      <c r="P128" s="479"/>
      <c r="Q128" s="479"/>
      <c r="R128" s="479"/>
      <c r="S128" s="479"/>
    </row>
    <row r="129" spans="1:19" s="98" customFormat="1" ht="15" hidden="1">
      <c r="A129" s="479"/>
      <c r="B129" s="479"/>
      <c r="C129" s="479"/>
      <c r="D129" s="479"/>
      <c r="E129" s="479"/>
      <c r="F129" s="479"/>
      <c r="G129" s="479"/>
      <c r="H129" s="479"/>
      <c r="I129" s="479"/>
      <c r="J129" s="479"/>
      <c r="K129" s="479"/>
      <c r="L129" s="479"/>
      <c r="M129" s="479"/>
      <c r="N129" s="479"/>
      <c r="O129" s="479"/>
      <c r="P129" s="479"/>
      <c r="Q129" s="479"/>
      <c r="R129" s="479"/>
      <c r="S129" s="479"/>
    </row>
    <row r="130" spans="1:19" s="98" customFormat="1" ht="15" hidden="1">
      <c r="A130" s="479"/>
      <c r="B130" s="479"/>
      <c r="C130" s="479"/>
      <c r="D130" s="479"/>
      <c r="E130" s="479"/>
      <c r="F130" s="479"/>
      <c r="G130" s="479"/>
      <c r="H130" s="479"/>
      <c r="I130" s="479"/>
      <c r="J130" s="479"/>
      <c r="K130" s="479"/>
      <c r="L130" s="479"/>
      <c r="M130" s="479"/>
      <c r="N130" s="479"/>
      <c r="O130" s="479"/>
      <c r="P130" s="479"/>
      <c r="Q130" s="479"/>
      <c r="R130" s="479"/>
      <c r="S130" s="479"/>
    </row>
    <row r="131" spans="1:19" s="98" customFormat="1" ht="15" hidden="1">
      <c r="A131" s="479"/>
      <c r="B131" s="479"/>
      <c r="C131" s="479"/>
      <c r="D131" s="479"/>
      <c r="E131" s="479"/>
      <c r="F131" s="479"/>
      <c r="G131" s="479"/>
      <c r="H131" s="479"/>
      <c r="I131" s="479"/>
      <c r="J131" s="479"/>
      <c r="K131" s="479"/>
      <c r="L131" s="479"/>
      <c r="M131" s="479"/>
      <c r="N131" s="479"/>
      <c r="O131" s="479"/>
      <c r="P131" s="479"/>
      <c r="Q131" s="479"/>
      <c r="R131" s="479"/>
      <c r="S131" s="479"/>
    </row>
    <row r="132" spans="1:19" s="98" customFormat="1" ht="15" hidden="1">
      <c r="A132" s="479"/>
      <c r="B132" s="479"/>
      <c r="C132" s="479"/>
      <c r="D132" s="479"/>
      <c r="E132" s="479"/>
      <c r="F132" s="479"/>
      <c r="G132" s="479"/>
      <c r="H132" s="479"/>
      <c r="I132" s="479"/>
      <c r="J132" s="479"/>
      <c r="K132" s="479"/>
      <c r="L132" s="479"/>
      <c r="M132" s="479"/>
      <c r="N132" s="479"/>
      <c r="O132" s="479"/>
      <c r="P132" s="479"/>
      <c r="Q132" s="479"/>
      <c r="R132" s="479"/>
      <c r="S132" s="479"/>
    </row>
    <row r="133" spans="1:19" s="98" customFormat="1" ht="15" hidden="1">
      <c r="A133" s="479"/>
      <c r="B133" s="479"/>
      <c r="C133" s="479"/>
      <c r="D133" s="479"/>
      <c r="E133" s="479"/>
      <c r="F133" s="479"/>
      <c r="G133" s="479"/>
      <c r="H133" s="479"/>
      <c r="I133" s="479"/>
      <c r="J133" s="479"/>
      <c r="K133" s="479"/>
      <c r="L133" s="479"/>
      <c r="M133" s="479"/>
      <c r="N133" s="479"/>
      <c r="O133" s="479"/>
      <c r="P133" s="479"/>
      <c r="Q133" s="479"/>
      <c r="R133" s="479"/>
      <c r="S133" s="479"/>
    </row>
    <row r="134" spans="1:19" s="98" customFormat="1" ht="15" hidden="1">
      <c r="A134" s="479"/>
      <c r="B134" s="479"/>
      <c r="C134" s="479"/>
      <c r="D134" s="479"/>
      <c r="E134" s="479"/>
      <c r="F134" s="479"/>
      <c r="G134" s="479"/>
      <c r="H134" s="479"/>
      <c r="I134" s="479"/>
      <c r="J134" s="479"/>
      <c r="K134" s="479"/>
      <c r="L134" s="479"/>
      <c r="M134" s="479"/>
      <c r="N134" s="479"/>
      <c r="O134" s="479"/>
      <c r="P134" s="479"/>
      <c r="Q134" s="479"/>
      <c r="R134" s="479"/>
      <c r="S134" s="479"/>
    </row>
    <row r="135" spans="1:19" s="98" customFormat="1" ht="15" hidden="1">
      <c r="A135" s="479"/>
      <c r="B135" s="479"/>
      <c r="C135" s="479"/>
      <c r="D135" s="479"/>
      <c r="E135" s="479"/>
      <c r="F135" s="479"/>
      <c r="G135" s="479"/>
      <c r="H135" s="479"/>
      <c r="I135" s="479"/>
      <c r="J135" s="479"/>
      <c r="K135" s="479"/>
      <c r="L135" s="479"/>
      <c r="M135" s="479"/>
      <c r="N135" s="479"/>
      <c r="O135" s="479"/>
      <c r="P135" s="479"/>
      <c r="Q135" s="479"/>
      <c r="R135" s="479"/>
      <c r="S135" s="479"/>
    </row>
    <row r="136" spans="1:19" s="98" customFormat="1" ht="15" hidden="1">
      <c r="A136" s="479"/>
      <c r="B136" s="479"/>
      <c r="C136" s="479"/>
      <c r="D136" s="479"/>
      <c r="E136" s="479"/>
      <c r="F136" s="479"/>
      <c r="G136" s="479"/>
      <c r="H136" s="479"/>
      <c r="I136" s="479"/>
      <c r="J136" s="479"/>
      <c r="K136" s="479"/>
      <c r="L136" s="479"/>
      <c r="M136" s="479"/>
      <c r="N136" s="479"/>
      <c r="O136" s="479"/>
      <c r="P136" s="479"/>
      <c r="Q136" s="479"/>
      <c r="R136" s="479"/>
      <c r="S136" s="479"/>
    </row>
    <row r="137" spans="1:19" s="98" customFormat="1" ht="15" customHeight="1" hidden="1">
      <c r="A137" s="479"/>
      <c r="B137" s="479"/>
      <c r="C137" s="479"/>
      <c r="D137" s="479"/>
      <c r="E137" s="479"/>
      <c r="F137" s="479"/>
      <c r="G137" s="479"/>
      <c r="H137" s="479"/>
      <c r="I137" s="479"/>
      <c r="J137" s="479"/>
      <c r="K137" s="479"/>
      <c r="L137" s="479"/>
      <c r="M137" s="479"/>
      <c r="N137" s="479"/>
      <c r="O137" s="479"/>
      <c r="P137" s="479"/>
      <c r="Q137" s="479"/>
      <c r="R137" s="479"/>
      <c r="S137" s="479"/>
    </row>
    <row r="138" spans="1:19" s="98" customFormat="1" ht="15" customHeight="1" hidden="1">
      <c r="A138" s="479"/>
      <c r="B138" s="479"/>
      <c r="C138" s="479"/>
      <c r="D138" s="479"/>
      <c r="E138" s="479"/>
      <c r="F138" s="479"/>
      <c r="G138" s="479"/>
      <c r="H138" s="479"/>
      <c r="I138" s="479"/>
      <c r="J138" s="479"/>
      <c r="K138" s="479"/>
      <c r="L138" s="479"/>
      <c r="M138" s="479"/>
      <c r="N138" s="479"/>
      <c r="O138" s="479"/>
      <c r="P138" s="479"/>
      <c r="Q138" s="479"/>
      <c r="R138" s="479"/>
      <c r="S138" s="479"/>
    </row>
    <row r="139" spans="1:19" s="98" customFormat="1" ht="15" customHeight="1" hidden="1">
      <c r="A139" s="479"/>
      <c r="B139" s="479"/>
      <c r="C139" s="479"/>
      <c r="D139" s="479"/>
      <c r="E139" s="479"/>
      <c r="F139" s="479"/>
      <c r="G139" s="479"/>
      <c r="H139" s="479"/>
      <c r="I139" s="479"/>
      <c r="J139" s="479"/>
      <c r="K139" s="479"/>
      <c r="L139" s="479"/>
      <c r="M139" s="479"/>
      <c r="N139" s="479"/>
      <c r="O139" s="479"/>
      <c r="P139" s="479"/>
      <c r="Q139" s="479"/>
      <c r="R139" s="479"/>
      <c r="S139" s="479"/>
    </row>
    <row r="140" spans="1:19" s="98" customFormat="1" ht="15" customHeight="1" hidden="1">
      <c r="A140" s="479"/>
      <c r="B140" s="479"/>
      <c r="C140" s="479"/>
      <c r="D140" s="479"/>
      <c r="E140" s="479"/>
      <c r="F140" s="479"/>
      <c r="G140" s="479"/>
      <c r="H140" s="479"/>
      <c r="I140" s="479"/>
      <c r="J140" s="479"/>
      <c r="K140" s="479"/>
      <c r="L140" s="479"/>
      <c r="M140" s="479"/>
      <c r="N140" s="479"/>
      <c r="O140" s="479"/>
      <c r="P140" s="479"/>
      <c r="Q140" s="479"/>
      <c r="R140" s="479"/>
      <c r="S140" s="479"/>
    </row>
    <row r="141" spans="1:19" s="98" customFormat="1" ht="15" customHeight="1" hidden="1">
      <c r="A141" s="479"/>
      <c r="B141" s="479"/>
      <c r="C141" s="479"/>
      <c r="D141" s="479"/>
      <c r="E141" s="479"/>
      <c r="F141" s="479"/>
      <c r="G141" s="479"/>
      <c r="H141" s="479"/>
      <c r="I141" s="479"/>
      <c r="J141" s="479"/>
      <c r="K141" s="479"/>
      <c r="L141" s="479"/>
      <c r="M141" s="479"/>
      <c r="N141" s="479"/>
      <c r="O141" s="479"/>
      <c r="P141" s="479"/>
      <c r="Q141" s="479"/>
      <c r="R141" s="479"/>
      <c r="S141" s="479"/>
    </row>
    <row r="142" spans="1:19" s="98" customFormat="1" ht="15" hidden="1">
      <c r="A142" s="479"/>
      <c r="B142" s="479"/>
      <c r="C142" s="479"/>
      <c r="D142" s="479"/>
      <c r="E142" s="479"/>
      <c r="F142" s="479"/>
      <c r="G142" s="479"/>
      <c r="H142" s="479"/>
      <c r="I142" s="479"/>
      <c r="J142" s="479"/>
      <c r="K142" s="479"/>
      <c r="L142" s="479"/>
      <c r="M142" s="479"/>
      <c r="N142" s="479"/>
      <c r="O142" s="479"/>
      <c r="P142" s="479"/>
      <c r="Q142" s="479"/>
      <c r="R142" s="479"/>
      <c r="S142" s="479"/>
    </row>
    <row r="143" spans="1:19" s="98" customFormat="1" ht="15" hidden="1">
      <c r="A143" s="479"/>
      <c r="B143" s="479"/>
      <c r="C143" s="479"/>
      <c r="D143" s="479"/>
      <c r="E143" s="479"/>
      <c r="F143" s="479"/>
      <c r="G143" s="479"/>
      <c r="H143" s="479"/>
      <c r="I143" s="479"/>
      <c r="J143" s="479"/>
      <c r="K143" s="479"/>
      <c r="L143" s="479"/>
      <c r="M143" s="479"/>
      <c r="N143" s="479"/>
      <c r="O143" s="479"/>
      <c r="P143" s="479"/>
      <c r="Q143" s="479"/>
      <c r="R143" s="479"/>
      <c r="S143" s="479"/>
    </row>
    <row r="144" spans="1:19" s="98" customFormat="1" ht="15" hidden="1">
      <c r="A144" s="479"/>
      <c r="B144" s="479"/>
      <c r="C144" s="479"/>
      <c r="D144" s="479"/>
      <c r="E144" s="479"/>
      <c r="F144" s="479"/>
      <c r="G144" s="479"/>
      <c r="H144" s="479"/>
      <c r="I144" s="479"/>
      <c r="J144" s="479"/>
      <c r="K144" s="479"/>
      <c r="L144" s="479"/>
      <c r="M144" s="479"/>
      <c r="N144" s="479"/>
      <c r="O144" s="479"/>
      <c r="P144" s="479"/>
      <c r="Q144" s="479"/>
      <c r="R144" s="479"/>
      <c r="S144" s="479"/>
    </row>
    <row r="145" spans="1:19" s="98" customFormat="1" ht="15" customHeight="1" hidden="1">
      <c r="A145" s="479"/>
      <c r="B145" s="479"/>
      <c r="C145" s="479"/>
      <c r="D145" s="479"/>
      <c r="E145" s="479"/>
      <c r="F145" s="479"/>
      <c r="G145" s="479"/>
      <c r="H145" s="479"/>
      <c r="I145" s="479"/>
      <c r="J145" s="479"/>
      <c r="K145" s="479"/>
      <c r="L145" s="479"/>
      <c r="M145" s="479"/>
      <c r="N145" s="479"/>
      <c r="O145" s="479"/>
      <c r="P145" s="479"/>
      <c r="Q145" s="479"/>
      <c r="R145" s="479"/>
      <c r="S145" s="479"/>
    </row>
    <row r="146" spans="1:19" s="98" customFormat="1" ht="15" customHeight="1" hidden="1">
      <c r="A146" s="479"/>
      <c r="B146" s="479"/>
      <c r="C146" s="479"/>
      <c r="D146" s="479"/>
      <c r="E146" s="479"/>
      <c r="F146" s="479"/>
      <c r="G146" s="479"/>
      <c r="H146" s="479"/>
      <c r="I146" s="479"/>
      <c r="J146" s="479"/>
      <c r="K146" s="479"/>
      <c r="L146" s="479"/>
      <c r="M146" s="479"/>
      <c r="N146" s="479"/>
      <c r="O146" s="479"/>
      <c r="P146" s="479"/>
      <c r="Q146" s="479"/>
      <c r="R146" s="479"/>
      <c r="S146" s="479"/>
    </row>
    <row r="147" spans="1:19" s="98" customFormat="1" ht="15" customHeight="1" hidden="1">
      <c r="A147" s="479"/>
      <c r="B147" s="479"/>
      <c r="C147" s="479"/>
      <c r="D147" s="479"/>
      <c r="E147" s="479"/>
      <c r="F147" s="479"/>
      <c r="G147" s="479"/>
      <c r="H147" s="479"/>
      <c r="I147" s="479"/>
      <c r="J147" s="479"/>
      <c r="K147" s="479"/>
      <c r="L147" s="479"/>
      <c r="M147" s="479"/>
      <c r="N147" s="479"/>
      <c r="O147" s="479"/>
      <c r="P147" s="479"/>
      <c r="Q147" s="479"/>
      <c r="R147" s="479"/>
      <c r="S147" s="479"/>
    </row>
    <row r="148" spans="1:19" s="98" customFormat="1" ht="15" hidden="1">
      <c r="A148" s="479"/>
      <c r="B148" s="479"/>
      <c r="C148" s="479"/>
      <c r="D148" s="479"/>
      <c r="E148" s="479"/>
      <c r="F148" s="479"/>
      <c r="G148" s="479"/>
      <c r="H148" s="479"/>
      <c r="I148" s="479"/>
      <c r="J148" s="479"/>
      <c r="K148" s="479"/>
      <c r="L148" s="479"/>
      <c r="M148" s="479"/>
      <c r="N148" s="479"/>
      <c r="O148" s="479"/>
      <c r="P148" s="479"/>
      <c r="Q148" s="479"/>
      <c r="R148" s="479"/>
      <c r="S148" s="479"/>
    </row>
    <row r="149" spans="1:19" s="98" customFormat="1" ht="15" hidden="1">
      <c r="A149" s="479"/>
      <c r="B149" s="479"/>
      <c r="C149" s="479"/>
      <c r="D149" s="479"/>
      <c r="E149" s="479"/>
      <c r="F149" s="479"/>
      <c r="G149" s="479"/>
      <c r="H149" s="479"/>
      <c r="I149" s="479"/>
      <c r="J149" s="479"/>
      <c r="K149" s="479"/>
      <c r="L149" s="479"/>
      <c r="M149" s="479"/>
      <c r="N149" s="479"/>
      <c r="O149" s="479"/>
      <c r="P149" s="479"/>
      <c r="Q149" s="479"/>
      <c r="R149" s="479"/>
      <c r="S149" s="479"/>
    </row>
    <row r="150" spans="1:19" s="98" customFormat="1" ht="15" hidden="1">
      <c r="A150" s="479"/>
      <c r="B150" s="479"/>
      <c r="C150" s="479"/>
      <c r="D150" s="479"/>
      <c r="E150" s="479"/>
      <c r="F150" s="479"/>
      <c r="G150" s="479"/>
      <c r="H150" s="479"/>
      <c r="I150" s="479"/>
      <c r="J150" s="479"/>
      <c r="K150" s="479"/>
      <c r="L150" s="479"/>
      <c r="M150" s="479"/>
      <c r="N150" s="479"/>
      <c r="O150" s="479"/>
      <c r="P150" s="479"/>
      <c r="Q150" s="479"/>
      <c r="R150" s="479"/>
      <c r="S150" s="479"/>
    </row>
    <row r="151" spans="1:19" s="98" customFormat="1" ht="15" customHeight="1" hidden="1">
      <c r="A151" s="479"/>
      <c r="B151" s="479"/>
      <c r="C151" s="479"/>
      <c r="D151" s="479"/>
      <c r="E151" s="479"/>
      <c r="F151" s="479"/>
      <c r="G151" s="479"/>
      <c r="H151" s="479"/>
      <c r="I151" s="479"/>
      <c r="J151" s="479"/>
      <c r="K151" s="479"/>
      <c r="L151" s="479"/>
      <c r="M151" s="479"/>
      <c r="N151" s="479"/>
      <c r="O151" s="479"/>
      <c r="P151" s="479"/>
      <c r="Q151" s="479"/>
      <c r="R151" s="479"/>
      <c r="S151" s="479"/>
    </row>
    <row r="152" spans="1:19" s="98" customFormat="1" ht="15" customHeight="1" hidden="1">
      <c r="A152" s="479"/>
      <c r="B152" s="479"/>
      <c r="C152" s="479"/>
      <c r="D152" s="479"/>
      <c r="E152" s="479"/>
      <c r="F152" s="479"/>
      <c r="G152" s="479"/>
      <c r="H152" s="479"/>
      <c r="I152" s="479"/>
      <c r="J152" s="479"/>
      <c r="K152" s="479"/>
      <c r="L152" s="479"/>
      <c r="M152" s="479"/>
      <c r="N152" s="479"/>
      <c r="O152" s="479"/>
      <c r="P152" s="479"/>
      <c r="Q152" s="479"/>
      <c r="R152" s="479"/>
      <c r="S152" s="479"/>
    </row>
    <row r="153" spans="1:19" s="98" customFormat="1" ht="15" customHeight="1" hidden="1">
      <c r="A153" s="479"/>
      <c r="B153" s="479"/>
      <c r="C153" s="479"/>
      <c r="D153" s="479"/>
      <c r="E153" s="479"/>
      <c r="F153" s="479"/>
      <c r="G153" s="479"/>
      <c r="H153" s="479"/>
      <c r="I153" s="479"/>
      <c r="J153" s="479"/>
      <c r="K153" s="479"/>
      <c r="L153" s="479"/>
      <c r="M153" s="479"/>
      <c r="N153" s="479"/>
      <c r="O153" s="479"/>
      <c r="P153" s="479"/>
      <c r="Q153" s="479"/>
      <c r="R153" s="479"/>
      <c r="S153" s="479"/>
    </row>
    <row r="154" spans="1:19" s="98" customFormat="1" ht="15" hidden="1">
      <c r="A154" s="479"/>
      <c r="B154" s="479"/>
      <c r="C154" s="479"/>
      <c r="D154" s="479"/>
      <c r="E154" s="479"/>
      <c r="F154" s="479"/>
      <c r="G154" s="479"/>
      <c r="H154" s="479"/>
      <c r="I154" s="479"/>
      <c r="J154" s="479"/>
      <c r="K154" s="479"/>
      <c r="L154" s="479"/>
      <c r="M154" s="479"/>
      <c r="N154" s="479"/>
      <c r="O154" s="479"/>
      <c r="P154" s="479"/>
      <c r="Q154" s="479"/>
      <c r="R154" s="479"/>
      <c r="S154" s="479"/>
    </row>
    <row r="155" spans="1:19" s="98" customFormat="1" ht="15" hidden="1">
      <c r="A155" s="479"/>
      <c r="B155" s="479"/>
      <c r="C155" s="479"/>
      <c r="D155" s="479"/>
      <c r="E155" s="479"/>
      <c r="F155" s="479"/>
      <c r="G155" s="479"/>
      <c r="H155" s="479"/>
      <c r="I155" s="479"/>
      <c r="J155" s="479"/>
      <c r="K155" s="479"/>
      <c r="L155" s="479"/>
      <c r="M155" s="479"/>
      <c r="N155" s="479"/>
      <c r="O155" s="479"/>
      <c r="P155" s="479"/>
      <c r="Q155" s="479"/>
      <c r="R155" s="479"/>
      <c r="S155" s="479"/>
    </row>
    <row r="156" spans="1:19" s="98" customFormat="1" ht="15" hidden="1">
      <c r="A156" s="479"/>
      <c r="B156" s="479"/>
      <c r="C156" s="479"/>
      <c r="D156" s="479"/>
      <c r="E156" s="479"/>
      <c r="F156" s="479"/>
      <c r="G156" s="479"/>
      <c r="H156" s="479"/>
      <c r="I156" s="479"/>
      <c r="J156" s="479"/>
      <c r="K156" s="479"/>
      <c r="L156" s="479"/>
      <c r="M156" s="479"/>
      <c r="N156" s="479"/>
      <c r="O156" s="479"/>
      <c r="P156" s="479"/>
      <c r="Q156" s="479"/>
      <c r="R156" s="479"/>
      <c r="S156" s="479"/>
    </row>
    <row r="157" spans="1:19" s="98" customFormat="1" ht="15" hidden="1">
      <c r="A157" s="479"/>
      <c r="B157" s="479"/>
      <c r="C157" s="479"/>
      <c r="D157" s="479"/>
      <c r="E157" s="479"/>
      <c r="F157" s="479"/>
      <c r="G157" s="479"/>
      <c r="H157" s="479"/>
      <c r="I157" s="479"/>
      <c r="J157" s="479"/>
      <c r="K157" s="479"/>
      <c r="L157" s="479"/>
      <c r="M157" s="479"/>
      <c r="N157" s="479"/>
      <c r="O157" s="479"/>
      <c r="P157" s="479"/>
      <c r="Q157" s="479"/>
      <c r="R157" s="479"/>
      <c r="S157" s="479"/>
    </row>
    <row r="158" spans="1:19" s="98" customFormat="1" ht="15" customHeight="1" hidden="1">
      <c r="A158" s="479"/>
      <c r="B158" s="479"/>
      <c r="C158" s="479"/>
      <c r="D158" s="479"/>
      <c r="E158" s="479"/>
      <c r="F158" s="479"/>
      <c r="G158" s="479"/>
      <c r="H158" s="479"/>
      <c r="I158" s="479"/>
      <c r="J158" s="479"/>
      <c r="K158" s="479"/>
      <c r="L158" s="479"/>
      <c r="M158" s="479"/>
      <c r="N158" s="479"/>
      <c r="O158" s="479"/>
      <c r="P158" s="479"/>
      <c r="Q158" s="479"/>
      <c r="R158" s="479"/>
      <c r="S158" s="479"/>
    </row>
    <row r="159" spans="1:19" s="98" customFormat="1" ht="15" hidden="1">
      <c r="A159" s="479"/>
      <c r="B159" s="479"/>
      <c r="C159" s="479"/>
      <c r="D159" s="479"/>
      <c r="E159" s="479"/>
      <c r="F159" s="479"/>
      <c r="G159" s="479"/>
      <c r="H159" s="479"/>
      <c r="I159" s="479"/>
      <c r="J159" s="479"/>
      <c r="K159" s="479"/>
      <c r="L159" s="479"/>
      <c r="M159" s="479"/>
      <c r="N159" s="479"/>
      <c r="O159" s="479"/>
      <c r="P159" s="479"/>
      <c r="Q159" s="479"/>
      <c r="R159" s="479"/>
      <c r="S159" s="479"/>
    </row>
    <row r="160" spans="1:19" s="98" customFormat="1" ht="15" customHeight="1" hidden="1">
      <c r="A160" s="479"/>
      <c r="B160" s="479"/>
      <c r="C160" s="479"/>
      <c r="D160" s="479"/>
      <c r="E160" s="479"/>
      <c r="F160" s="479"/>
      <c r="G160" s="479"/>
      <c r="H160" s="479"/>
      <c r="I160" s="479"/>
      <c r="J160" s="479"/>
      <c r="K160" s="479"/>
      <c r="L160" s="479"/>
      <c r="M160" s="479"/>
      <c r="N160" s="479"/>
      <c r="O160" s="479"/>
      <c r="P160" s="479"/>
      <c r="Q160" s="479"/>
      <c r="R160" s="479"/>
      <c r="S160" s="479"/>
    </row>
    <row r="161" spans="1:19" s="98" customFormat="1" ht="15" customHeight="1" hidden="1">
      <c r="A161" s="479"/>
      <c r="B161" s="479"/>
      <c r="C161" s="479"/>
      <c r="D161" s="479"/>
      <c r="E161" s="479"/>
      <c r="F161" s="479"/>
      <c r="G161" s="479"/>
      <c r="H161" s="479"/>
      <c r="I161" s="479"/>
      <c r="J161" s="479"/>
      <c r="K161" s="479"/>
      <c r="L161" s="479"/>
      <c r="M161" s="479"/>
      <c r="N161" s="479"/>
      <c r="O161" s="479"/>
      <c r="P161" s="479"/>
      <c r="Q161" s="479"/>
      <c r="R161" s="479"/>
      <c r="S161" s="479"/>
    </row>
    <row r="162" spans="1:19" s="98" customFormat="1" ht="15" hidden="1">
      <c r="A162" s="479"/>
      <c r="B162" s="479"/>
      <c r="C162" s="479"/>
      <c r="D162" s="479"/>
      <c r="E162" s="479"/>
      <c r="F162" s="479"/>
      <c r="G162" s="479"/>
      <c r="H162" s="479"/>
      <c r="I162" s="479"/>
      <c r="J162" s="479"/>
      <c r="K162" s="479"/>
      <c r="L162" s="479"/>
      <c r="M162" s="479"/>
      <c r="N162" s="479"/>
      <c r="O162" s="479"/>
      <c r="P162" s="479"/>
      <c r="Q162" s="479"/>
      <c r="R162" s="479"/>
      <c r="S162" s="479"/>
    </row>
    <row r="163" spans="1:19" s="98" customFormat="1" ht="15" hidden="1">
      <c r="A163" s="479"/>
      <c r="B163" s="479"/>
      <c r="C163" s="479"/>
      <c r="D163" s="479"/>
      <c r="E163" s="479"/>
      <c r="F163" s="479"/>
      <c r="G163" s="479"/>
      <c r="H163" s="479"/>
      <c r="I163" s="479"/>
      <c r="J163" s="479"/>
      <c r="K163" s="479"/>
      <c r="L163" s="479"/>
      <c r="M163" s="479"/>
      <c r="N163" s="479"/>
      <c r="O163" s="479"/>
      <c r="P163" s="479"/>
      <c r="Q163" s="479"/>
      <c r="R163" s="479"/>
      <c r="S163" s="479"/>
    </row>
    <row r="164" spans="1:19" s="98" customFormat="1" ht="15" hidden="1">
      <c r="A164" s="479"/>
      <c r="B164" s="479"/>
      <c r="C164" s="479"/>
      <c r="D164" s="479"/>
      <c r="E164" s="479"/>
      <c r="F164" s="479"/>
      <c r="G164" s="479"/>
      <c r="H164" s="479"/>
      <c r="I164" s="479"/>
      <c r="J164" s="479"/>
      <c r="K164" s="479"/>
      <c r="L164" s="479"/>
      <c r="M164" s="479"/>
      <c r="N164" s="479"/>
      <c r="O164" s="479"/>
      <c r="P164" s="479"/>
      <c r="Q164" s="479"/>
      <c r="R164" s="479"/>
      <c r="S164" s="479"/>
    </row>
    <row r="165" spans="1:19" s="98" customFormat="1" ht="15" customHeight="1" hidden="1">
      <c r="A165" s="479"/>
      <c r="B165" s="479"/>
      <c r="C165" s="479"/>
      <c r="D165" s="479"/>
      <c r="E165" s="479"/>
      <c r="F165" s="479"/>
      <c r="G165" s="479"/>
      <c r="H165" s="479"/>
      <c r="I165" s="479"/>
      <c r="J165" s="479"/>
      <c r="K165" s="479"/>
      <c r="L165" s="479"/>
      <c r="M165" s="479"/>
      <c r="N165" s="479"/>
      <c r="O165" s="479"/>
      <c r="P165" s="479"/>
      <c r="Q165" s="479"/>
      <c r="R165" s="479"/>
      <c r="S165" s="479"/>
    </row>
    <row r="166" spans="1:19" s="98" customFormat="1" ht="15" hidden="1">
      <c r="A166" s="479"/>
      <c r="B166" s="479"/>
      <c r="C166" s="479"/>
      <c r="D166" s="479"/>
      <c r="E166" s="479"/>
      <c r="F166" s="479"/>
      <c r="G166" s="479"/>
      <c r="H166" s="479"/>
      <c r="I166" s="479"/>
      <c r="J166" s="479"/>
      <c r="K166" s="479"/>
      <c r="L166" s="479"/>
      <c r="M166" s="479"/>
      <c r="N166" s="479"/>
      <c r="O166" s="479"/>
      <c r="P166" s="479"/>
      <c r="Q166" s="479"/>
      <c r="R166" s="479"/>
      <c r="S166" s="479"/>
    </row>
    <row r="167" spans="1:19" s="98" customFormat="1" ht="15" customHeight="1" hidden="1">
      <c r="A167" s="479"/>
      <c r="B167" s="479"/>
      <c r="C167" s="479"/>
      <c r="D167" s="479"/>
      <c r="E167" s="479"/>
      <c r="F167" s="479"/>
      <c r="G167" s="479"/>
      <c r="H167" s="479"/>
      <c r="I167" s="479"/>
      <c r="J167" s="479"/>
      <c r="K167" s="479"/>
      <c r="L167" s="479"/>
      <c r="M167" s="479"/>
      <c r="N167" s="479"/>
      <c r="O167" s="479"/>
      <c r="P167" s="479"/>
      <c r="Q167" s="479"/>
      <c r="R167" s="479"/>
      <c r="S167" s="479"/>
    </row>
    <row r="168" spans="1:19" s="98" customFormat="1" ht="15" customHeight="1" hidden="1">
      <c r="A168" s="479"/>
      <c r="B168" s="479"/>
      <c r="C168" s="479"/>
      <c r="D168" s="479"/>
      <c r="E168" s="479"/>
      <c r="F168" s="479"/>
      <c r="G168" s="479"/>
      <c r="H168" s="479"/>
      <c r="I168" s="479"/>
      <c r="J168" s="479"/>
      <c r="K168" s="479"/>
      <c r="L168" s="479"/>
      <c r="M168" s="479"/>
      <c r="N168" s="479"/>
      <c r="O168" s="479"/>
      <c r="P168" s="479"/>
      <c r="Q168" s="479"/>
      <c r="R168" s="479"/>
      <c r="S168" s="479"/>
    </row>
    <row r="169" spans="1:19" s="98" customFormat="1" ht="15" customHeight="1" hidden="1">
      <c r="A169" s="479"/>
      <c r="B169" s="479"/>
      <c r="C169" s="479"/>
      <c r="D169" s="479"/>
      <c r="E169" s="479"/>
      <c r="F169" s="479"/>
      <c r="G169" s="479"/>
      <c r="H169" s="479"/>
      <c r="I169" s="479"/>
      <c r="J169" s="479"/>
      <c r="K169" s="479"/>
      <c r="L169" s="479"/>
      <c r="M169" s="479"/>
      <c r="N169" s="479"/>
      <c r="O169" s="479"/>
      <c r="P169" s="479"/>
      <c r="Q169" s="479"/>
      <c r="R169" s="479"/>
      <c r="S169" s="479"/>
    </row>
    <row r="170" spans="1:19" s="98" customFormat="1" ht="15" hidden="1">
      <c r="A170" s="479"/>
      <c r="B170" s="479"/>
      <c r="C170" s="479"/>
      <c r="D170" s="479"/>
      <c r="E170" s="479"/>
      <c r="F170" s="479"/>
      <c r="G170" s="479"/>
      <c r="H170" s="479"/>
      <c r="I170" s="479"/>
      <c r="J170" s="479"/>
      <c r="K170" s="479"/>
      <c r="L170" s="479"/>
      <c r="M170" s="479"/>
      <c r="N170" s="479"/>
      <c r="O170" s="479"/>
      <c r="P170" s="479"/>
      <c r="Q170" s="479"/>
      <c r="R170" s="479"/>
      <c r="S170" s="479"/>
    </row>
    <row r="171" spans="1:19" s="98" customFormat="1" ht="15" hidden="1">
      <c r="A171" s="479"/>
      <c r="B171" s="479"/>
      <c r="C171" s="479"/>
      <c r="D171" s="479"/>
      <c r="E171" s="479"/>
      <c r="F171" s="479"/>
      <c r="G171" s="479"/>
      <c r="H171" s="479"/>
      <c r="I171" s="479"/>
      <c r="J171" s="479"/>
      <c r="K171" s="479"/>
      <c r="L171" s="479"/>
      <c r="M171" s="479"/>
      <c r="N171" s="479"/>
      <c r="O171" s="479"/>
      <c r="P171" s="479"/>
      <c r="Q171" s="479"/>
      <c r="R171" s="479"/>
      <c r="S171" s="479"/>
    </row>
    <row r="172" spans="1:19" s="98" customFormat="1" ht="15" hidden="1">
      <c r="A172" s="479"/>
      <c r="B172" s="479"/>
      <c r="C172" s="479"/>
      <c r="D172" s="479"/>
      <c r="E172" s="479"/>
      <c r="F172" s="479"/>
      <c r="G172" s="479"/>
      <c r="H172" s="479"/>
      <c r="I172" s="479"/>
      <c r="J172" s="479"/>
      <c r="K172" s="479"/>
      <c r="L172" s="479"/>
      <c r="M172" s="479"/>
      <c r="N172" s="479"/>
      <c r="O172" s="479"/>
      <c r="P172" s="479"/>
      <c r="Q172" s="479"/>
      <c r="R172" s="479"/>
      <c r="S172" s="479"/>
    </row>
    <row r="173" spans="1:19" s="98" customFormat="1" ht="15" customHeight="1" hidden="1">
      <c r="A173" s="479"/>
      <c r="B173" s="479"/>
      <c r="C173" s="479"/>
      <c r="D173" s="479"/>
      <c r="E173" s="479"/>
      <c r="F173" s="479"/>
      <c r="G173" s="479"/>
      <c r="H173" s="479"/>
      <c r="I173" s="479"/>
      <c r="J173" s="479"/>
      <c r="K173" s="479"/>
      <c r="L173" s="479"/>
      <c r="M173" s="479"/>
      <c r="N173" s="479"/>
      <c r="O173" s="479"/>
      <c r="P173" s="479"/>
      <c r="Q173" s="479"/>
      <c r="R173" s="479"/>
      <c r="S173" s="479"/>
    </row>
    <row r="174" spans="1:19" s="98" customFormat="1" ht="15" hidden="1">
      <c r="A174" s="479"/>
      <c r="B174" s="479"/>
      <c r="C174" s="479"/>
      <c r="D174" s="479"/>
      <c r="E174" s="479"/>
      <c r="F174" s="479"/>
      <c r="G174" s="479"/>
      <c r="H174" s="479"/>
      <c r="I174" s="479"/>
      <c r="J174" s="479"/>
      <c r="K174" s="479"/>
      <c r="L174" s="479"/>
      <c r="M174" s="479"/>
      <c r="N174" s="479"/>
      <c r="O174" s="479"/>
      <c r="P174" s="479"/>
      <c r="Q174" s="479"/>
      <c r="R174" s="479"/>
      <c r="S174" s="479"/>
    </row>
    <row r="175" spans="1:19" s="98" customFormat="1" ht="15" customHeight="1" hidden="1">
      <c r="A175" s="479"/>
      <c r="B175" s="479"/>
      <c r="C175" s="479"/>
      <c r="D175" s="479"/>
      <c r="E175" s="479"/>
      <c r="F175" s="479"/>
      <c r="G175" s="479"/>
      <c r="H175" s="479"/>
      <c r="I175" s="479"/>
      <c r="J175" s="479"/>
      <c r="K175" s="479"/>
      <c r="L175" s="479"/>
      <c r="M175" s="479"/>
      <c r="N175" s="479"/>
      <c r="O175" s="479"/>
      <c r="P175" s="479"/>
      <c r="Q175" s="479"/>
      <c r="R175" s="479"/>
      <c r="S175" s="479"/>
    </row>
    <row r="176" spans="1:19" s="98" customFormat="1" ht="15" customHeight="1" hidden="1">
      <c r="A176" s="479"/>
      <c r="B176" s="479"/>
      <c r="C176" s="479"/>
      <c r="D176" s="479"/>
      <c r="E176" s="479"/>
      <c r="F176" s="479"/>
      <c r="G176" s="479"/>
      <c r="H176" s="479"/>
      <c r="I176" s="479"/>
      <c r="J176" s="479"/>
      <c r="K176" s="479"/>
      <c r="L176" s="479"/>
      <c r="M176" s="479"/>
      <c r="N176" s="479"/>
      <c r="O176" s="479"/>
      <c r="P176" s="479"/>
      <c r="Q176" s="479"/>
      <c r="R176" s="479"/>
      <c r="S176" s="479"/>
    </row>
    <row r="177" spans="1:19" s="98" customFormat="1" ht="15" customHeight="1" hidden="1">
      <c r="A177" s="479"/>
      <c r="B177" s="479"/>
      <c r="C177" s="479"/>
      <c r="D177" s="479"/>
      <c r="E177" s="479"/>
      <c r="F177" s="479"/>
      <c r="G177" s="479"/>
      <c r="H177" s="479"/>
      <c r="I177" s="479"/>
      <c r="J177" s="479"/>
      <c r="K177" s="479"/>
      <c r="L177" s="479"/>
      <c r="M177" s="479"/>
      <c r="N177" s="479"/>
      <c r="O177" s="479"/>
      <c r="P177" s="479"/>
      <c r="Q177" s="479"/>
      <c r="R177" s="479"/>
      <c r="S177" s="479"/>
    </row>
    <row r="178" spans="1:19" s="98" customFormat="1" ht="15" hidden="1">
      <c r="A178" s="479"/>
      <c r="B178" s="479"/>
      <c r="C178" s="479"/>
      <c r="D178" s="479"/>
      <c r="E178" s="479"/>
      <c r="F178" s="479"/>
      <c r="G178" s="479"/>
      <c r="H178" s="479"/>
      <c r="I178" s="479"/>
      <c r="J178" s="479"/>
      <c r="K178" s="479"/>
      <c r="L178" s="479"/>
      <c r="M178" s="479"/>
      <c r="N178" s="479"/>
      <c r="O178" s="479"/>
      <c r="P178" s="479"/>
      <c r="Q178" s="479"/>
      <c r="R178" s="479"/>
      <c r="S178" s="479"/>
    </row>
    <row r="179" spans="1:19" s="98" customFormat="1" ht="15" hidden="1">
      <c r="A179" s="479"/>
      <c r="B179" s="479"/>
      <c r="C179" s="479"/>
      <c r="D179" s="479"/>
      <c r="E179" s="479"/>
      <c r="F179" s="479"/>
      <c r="G179" s="479"/>
      <c r="H179" s="479"/>
      <c r="I179" s="479"/>
      <c r="J179" s="479"/>
      <c r="K179" s="479"/>
      <c r="L179" s="479"/>
      <c r="M179" s="479"/>
      <c r="N179" s="479"/>
      <c r="O179" s="479"/>
      <c r="P179" s="479"/>
      <c r="Q179" s="479"/>
      <c r="R179" s="479"/>
      <c r="S179" s="479"/>
    </row>
    <row r="180" spans="1:19" s="98" customFormat="1" ht="15" hidden="1">
      <c r="A180" s="479"/>
      <c r="B180" s="479"/>
      <c r="C180" s="479"/>
      <c r="D180" s="479"/>
      <c r="E180" s="479"/>
      <c r="F180" s="479"/>
      <c r="G180" s="479"/>
      <c r="H180" s="479"/>
      <c r="I180" s="479"/>
      <c r="J180" s="479"/>
      <c r="K180" s="479"/>
      <c r="L180" s="479"/>
      <c r="M180" s="479"/>
      <c r="N180" s="479"/>
      <c r="O180" s="479"/>
      <c r="P180" s="479"/>
      <c r="Q180" s="479"/>
      <c r="R180" s="479"/>
      <c r="S180" s="479"/>
    </row>
    <row r="181" spans="1:19" s="98" customFormat="1" ht="15" customHeight="1" hidden="1">
      <c r="A181" s="479"/>
      <c r="B181" s="479"/>
      <c r="C181" s="479"/>
      <c r="D181" s="479"/>
      <c r="E181" s="479"/>
      <c r="F181" s="479"/>
      <c r="G181" s="479"/>
      <c r="H181" s="479"/>
      <c r="I181" s="479"/>
      <c r="J181" s="479"/>
      <c r="K181" s="479"/>
      <c r="L181" s="479"/>
      <c r="M181" s="479"/>
      <c r="N181" s="479"/>
      <c r="O181" s="479"/>
      <c r="P181" s="479"/>
      <c r="Q181" s="479"/>
      <c r="R181" s="479"/>
      <c r="S181" s="479"/>
    </row>
    <row r="182" spans="1:19" s="98" customFormat="1" ht="15" hidden="1">
      <c r="A182" s="479"/>
      <c r="B182" s="479"/>
      <c r="C182" s="479"/>
      <c r="D182" s="479"/>
      <c r="E182" s="479"/>
      <c r="F182" s="479"/>
      <c r="G182" s="479"/>
      <c r="H182" s="479"/>
      <c r="I182" s="479"/>
      <c r="J182" s="479"/>
      <c r="K182" s="479"/>
      <c r="L182" s="479"/>
      <c r="M182" s="479"/>
      <c r="N182" s="479"/>
      <c r="O182" s="479"/>
      <c r="P182" s="479"/>
      <c r="Q182" s="479"/>
      <c r="R182" s="479"/>
      <c r="S182" s="479"/>
    </row>
    <row r="183" spans="1:19" s="98" customFormat="1" ht="15" customHeight="1" hidden="1">
      <c r="A183" s="479"/>
      <c r="B183" s="479"/>
      <c r="C183" s="479"/>
      <c r="D183" s="479"/>
      <c r="E183" s="479"/>
      <c r="F183" s="479"/>
      <c r="G183" s="479"/>
      <c r="H183" s="479"/>
      <c r="I183" s="479"/>
      <c r="J183" s="479"/>
      <c r="K183" s="479"/>
      <c r="L183" s="479"/>
      <c r="M183" s="479"/>
      <c r="N183" s="479"/>
      <c r="O183" s="479"/>
      <c r="P183" s="479"/>
      <c r="Q183" s="479"/>
      <c r="R183" s="479"/>
      <c r="S183" s="479"/>
    </row>
    <row r="184" spans="1:19" s="98" customFormat="1" ht="15" customHeight="1" hidden="1">
      <c r="A184" s="479"/>
      <c r="B184" s="479"/>
      <c r="C184" s="479"/>
      <c r="D184" s="479"/>
      <c r="E184" s="479"/>
      <c r="F184" s="479"/>
      <c r="G184" s="479"/>
      <c r="H184" s="479"/>
      <c r="I184" s="479"/>
      <c r="J184" s="479"/>
      <c r="K184" s="479"/>
      <c r="L184" s="479"/>
      <c r="M184" s="479"/>
      <c r="N184" s="479"/>
      <c r="O184" s="479"/>
      <c r="P184" s="479"/>
      <c r="Q184" s="479"/>
      <c r="R184" s="479"/>
      <c r="S184" s="479"/>
    </row>
    <row r="185" spans="1:19" s="98" customFormat="1" ht="15" customHeight="1" hidden="1">
      <c r="A185" s="479"/>
      <c r="B185" s="479"/>
      <c r="C185" s="479"/>
      <c r="D185" s="479"/>
      <c r="E185" s="479"/>
      <c r="F185" s="479"/>
      <c r="G185" s="479"/>
      <c r="H185" s="479"/>
      <c r="I185" s="479"/>
      <c r="J185" s="479"/>
      <c r="K185" s="479"/>
      <c r="L185" s="479"/>
      <c r="M185" s="479"/>
      <c r="N185" s="479"/>
      <c r="O185" s="479"/>
      <c r="P185" s="479"/>
      <c r="Q185" s="479"/>
      <c r="R185" s="479"/>
      <c r="S185" s="479"/>
    </row>
    <row r="186" spans="1:19" s="98" customFormat="1" ht="15" hidden="1">
      <c r="A186" s="479"/>
      <c r="B186" s="479"/>
      <c r="C186" s="479"/>
      <c r="D186" s="479"/>
      <c r="E186" s="479"/>
      <c r="F186" s="479"/>
      <c r="G186" s="479"/>
      <c r="H186" s="479"/>
      <c r="I186" s="479"/>
      <c r="J186" s="479"/>
      <c r="K186" s="479"/>
      <c r="L186" s="479"/>
      <c r="M186" s="479"/>
      <c r="N186" s="479"/>
      <c r="O186" s="479"/>
      <c r="P186" s="479"/>
      <c r="Q186" s="479"/>
      <c r="R186" s="479"/>
      <c r="S186" s="479"/>
    </row>
    <row r="187" spans="1:19" s="98" customFormat="1" ht="15" hidden="1">
      <c r="A187" s="479"/>
      <c r="B187" s="479"/>
      <c r="C187" s="479"/>
      <c r="D187" s="479"/>
      <c r="E187" s="479"/>
      <c r="F187" s="479"/>
      <c r="G187" s="479"/>
      <c r="H187" s="479"/>
      <c r="I187" s="479"/>
      <c r="J187" s="479"/>
      <c r="K187" s="479"/>
      <c r="L187" s="479"/>
      <c r="M187" s="479"/>
      <c r="N187" s="479"/>
      <c r="O187" s="479"/>
      <c r="P187" s="479"/>
      <c r="Q187" s="479"/>
      <c r="R187" s="479"/>
      <c r="S187" s="479"/>
    </row>
    <row r="188" spans="1:19" s="98" customFormat="1" ht="15" hidden="1">
      <c r="A188" s="479"/>
      <c r="B188" s="479"/>
      <c r="C188" s="479"/>
      <c r="D188" s="479"/>
      <c r="E188" s="479"/>
      <c r="F188" s="479"/>
      <c r="G188" s="479"/>
      <c r="H188" s="479"/>
      <c r="I188" s="479"/>
      <c r="J188" s="479"/>
      <c r="K188" s="479"/>
      <c r="L188" s="479"/>
      <c r="M188" s="479"/>
      <c r="N188" s="479"/>
      <c r="O188" s="479"/>
      <c r="P188" s="479"/>
      <c r="Q188" s="479"/>
      <c r="R188" s="479"/>
      <c r="S188" s="479"/>
    </row>
    <row r="189" spans="1:19" s="98" customFormat="1" ht="15" customHeight="1" hidden="1">
      <c r="A189" s="479"/>
      <c r="B189" s="479"/>
      <c r="C189" s="479"/>
      <c r="D189" s="479"/>
      <c r="E189" s="479"/>
      <c r="F189" s="479"/>
      <c r="G189" s="479"/>
      <c r="H189" s="479"/>
      <c r="I189" s="479"/>
      <c r="J189" s="479"/>
      <c r="K189" s="479"/>
      <c r="L189" s="479"/>
      <c r="M189" s="479"/>
      <c r="N189" s="479"/>
      <c r="O189" s="479"/>
      <c r="P189" s="479"/>
      <c r="Q189" s="479"/>
      <c r="R189" s="479"/>
      <c r="S189" s="479"/>
    </row>
    <row r="190" spans="1:19" s="98" customFormat="1" ht="15" hidden="1">
      <c r="A190" s="479"/>
      <c r="B190" s="479"/>
      <c r="C190" s="479"/>
      <c r="D190" s="479"/>
      <c r="E190" s="479"/>
      <c r="F190" s="479"/>
      <c r="G190" s="479"/>
      <c r="H190" s="479"/>
      <c r="I190" s="479"/>
      <c r="J190" s="479"/>
      <c r="K190" s="479"/>
      <c r="L190" s="479"/>
      <c r="M190" s="479"/>
      <c r="N190" s="479"/>
      <c r="O190" s="479"/>
      <c r="P190" s="479"/>
      <c r="Q190" s="479"/>
      <c r="R190" s="479"/>
      <c r="S190" s="479"/>
    </row>
    <row r="191" spans="1:19" ht="15" customHeight="1" hidden="1">
      <c r="A191" s="479"/>
      <c r="B191" s="479"/>
      <c r="C191" s="479"/>
      <c r="D191" s="479"/>
      <c r="E191" s="479"/>
      <c r="F191" s="479"/>
      <c r="G191" s="479"/>
      <c r="H191" s="479"/>
      <c r="I191" s="479"/>
      <c r="J191" s="479"/>
      <c r="K191" s="479"/>
      <c r="L191" s="479"/>
      <c r="M191" s="479"/>
      <c r="N191" s="479"/>
      <c r="O191" s="479"/>
      <c r="P191" s="479"/>
      <c r="Q191" s="479"/>
      <c r="R191" s="479"/>
      <c r="S191" s="479"/>
    </row>
    <row r="192" spans="1:19" ht="15" hidden="1">
      <c r="A192" s="479"/>
      <c r="B192" s="479"/>
      <c r="C192" s="479"/>
      <c r="D192" s="479"/>
      <c r="E192" s="479"/>
      <c r="F192" s="479"/>
      <c r="G192" s="479"/>
      <c r="H192" s="479"/>
      <c r="I192" s="479"/>
      <c r="J192" s="479"/>
      <c r="K192" s="479"/>
      <c r="L192" s="479"/>
      <c r="M192" s="479"/>
      <c r="N192" s="479"/>
      <c r="O192" s="479"/>
      <c r="P192" s="479"/>
      <c r="Q192" s="479"/>
      <c r="R192" s="479"/>
      <c r="S192" s="479"/>
    </row>
    <row r="193" spans="1:19" ht="15" hidden="1">
      <c r="A193" s="479"/>
      <c r="B193" s="479"/>
      <c r="C193" s="479"/>
      <c r="D193" s="479"/>
      <c r="E193" s="479"/>
      <c r="F193" s="479"/>
      <c r="G193" s="479"/>
      <c r="H193" s="479"/>
      <c r="I193" s="479"/>
      <c r="J193" s="479"/>
      <c r="K193" s="479"/>
      <c r="L193" s="479"/>
      <c r="M193" s="479"/>
      <c r="N193" s="479"/>
      <c r="O193" s="479"/>
      <c r="P193" s="479"/>
      <c r="Q193" s="479"/>
      <c r="R193" s="479"/>
      <c r="S193" s="479"/>
    </row>
    <row r="194" spans="1:19" ht="15" hidden="1">
      <c r="A194" s="479"/>
      <c r="B194" s="479"/>
      <c r="C194" s="479"/>
      <c r="D194" s="479"/>
      <c r="E194" s="479"/>
      <c r="F194" s="479"/>
      <c r="G194" s="479"/>
      <c r="H194" s="479"/>
      <c r="I194" s="479"/>
      <c r="J194" s="479"/>
      <c r="K194" s="479"/>
      <c r="L194" s="479"/>
      <c r="M194" s="479"/>
      <c r="N194" s="479"/>
      <c r="O194" s="479"/>
      <c r="P194" s="479"/>
      <c r="Q194" s="479"/>
      <c r="R194" s="479"/>
      <c r="S194" s="479"/>
    </row>
    <row r="195" spans="1:19" ht="15" hidden="1">
      <c r="A195" s="479"/>
      <c r="B195" s="479"/>
      <c r="C195" s="479"/>
      <c r="D195" s="479"/>
      <c r="E195" s="479"/>
      <c r="F195" s="479"/>
      <c r="G195" s="479"/>
      <c r="H195" s="479"/>
      <c r="I195" s="479"/>
      <c r="J195" s="479"/>
      <c r="K195" s="479"/>
      <c r="L195" s="479"/>
      <c r="M195" s="479"/>
      <c r="N195" s="479"/>
      <c r="O195" s="479"/>
      <c r="P195" s="479"/>
      <c r="Q195" s="479"/>
      <c r="R195" s="479"/>
      <c r="S195" s="479"/>
    </row>
    <row r="196" spans="1:19" ht="15" hidden="1">
      <c r="A196" s="479"/>
      <c r="B196" s="479"/>
      <c r="C196" s="479"/>
      <c r="D196" s="479"/>
      <c r="E196" s="479"/>
      <c r="F196" s="479"/>
      <c r="G196" s="479"/>
      <c r="H196" s="479"/>
      <c r="I196" s="479"/>
      <c r="J196" s="479"/>
      <c r="K196" s="479"/>
      <c r="L196" s="479"/>
      <c r="M196" s="479"/>
      <c r="N196" s="479"/>
      <c r="O196" s="479"/>
      <c r="P196" s="479"/>
      <c r="Q196" s="479"/>
      <c r="R196" s="479"/>
      <c r="S196" s="479"/>
    </row>
    <row r="197" spans="1:19" ht="15" hidden="1">
      <c r="A197" s="479"/>
      <c r="B197" s="479"/>
      <c r="C197" s="479"/>
      <c r="D197" s="479"/>
      <c r="E197" s="479"/>
      <c r="F197" s="479"/>
      <c r="G197" s="479"/>
      <c r="H197" s="479"/>
      <c r="I197" s="479"/>
      <c r="J197" s="479"/>
      <c r="K197" s="479"/>
      <c r="L197" s="479"/>
      <c r="M197" s="479"/>
      <c r="N197" s="479"/>
      <c r="O197" s="479"/>
      <c r="P197" s="479"/>
      <c r="Q197" s="479"/>
      <c r="R197" s="479"/>
      <c r="S197" s="479"/>
    </row>
    <row r="198" spans="1:19" ht="15" hidden="1">
      <c r="A198" s="479"/>
      <c r="B198" s="479"/>
      <c r="C198" s="479"/>
      <c r="D198" s="479"/>
      <c r="E198" s="479"/>
      <c r="F198" s="479"/>
      <c r="G198" s="479"/>
      <c r="H198" s="479"/>
      <c r="I198" s="479"/>
      <c r="J198" s="479"/>
      <c r="K198" s="479"/>
      <c r="L198" s="479"/>
      <c r="M198" s="479"/>
      <c r="N198" s="479"/>
      <c r="O198" s="479"/>
      <c r="P198" s="479"/>
      <c r="Q198" s="479"/>
      <c r="R198" s="479"/>
      <c r="S198" s="479"/>
    </row>
    <row r="199" spans="1:19" ht="15" hidden="1">
      <c r="A199" s="479"/>
      <c r="B199" s="479"/>
      <c r="C199" s="479"/>
      <c r="D199" s="479"/>
      <c r="E199" s="479"/>
      <c r="F199" s="479"/>
      <c r="G199" s="479"/>
      <c r="H199" s="479"/>
      <c r="I199" s="479"/>
      <c r="J199" s="479"/>
      <c r="K199" s="479"/>
      <c r="L199" s="479"/>
      <c r="M199" s="479"/>
      <c r="N199" s="479"/>
      <c r="O199" s="479"/>
      <c r="P199" s="479"/>
      <c r="Q199" s="479"/>
      <c r="R199" s="479"/>
      <c r="S199" s="479"/>
    </row>
    <row r="200" spans="1:19" ht="15" hidden="1">
      <c r="A200" s="479"/>
      <c r="B200" s="479"/>
      <c r="C200" s="479"/>
      <c r="D200" s="479"/>
      <c r="E200" s="479"/>
      <c r="F200" s="479"/>
      <c r="G200" s="479"/>
      <c r="H200" s="479"/>
      <c r="I200" s="479"/>
      <c r="J200" s="479"/>
      <c r="K200" s="479"/>
      <c r="L200" s="479"/>
      <c r="M200" s="479"/>
      <c r="N200" s="479"/>
      <c r="O200" s="479"/>
      <c r="P200" s="479"/>
      <c r="Q200" s="479"/>
      <c r="R200" s="479"/>
      <c r="S200" s="479"/>
    </row>
    <row r="201" spans="1:19" ht="15" hidden="1">
      <c r="A201" s="479"/>
      <c r="B201" s="479"/>
      <c r="C201" s="479"/>
      <c r="D201" s="479"/>
      <c r="E201" s="479"/>
      <c r="F201" s="479"/>
      <c r="G201" s="479"/>
      <c r="H201" s="479"/>
      <c r="I201" s="479"/>
      <c r="J201" s="479"/>
      <c r="K201" s="479"/>
      <c r="L201" s="479"/>
      <c r="M201" s="479"/>
      <c r="N201" s="479"/>
      <c r="O201" s="479"/>
      <c r="P201" s="479"/>
      <c r="Q201" s="479"/>
      <c r="R201" s="479"/>
      <c r="S201" s="479"/>
    </row>
    <row r="202" spans="1:19" ht="15" hidden="1">
      <c r="A202" s="479"/>
      <c r="B202" s="479"/>
      <c r="C202" s="479"/>
      <c r="D202" s="479"/>
      <c r="E202" s="479"/>
      <c r="F202" s="479"/>
      <c r="G202" s="479"/>
      <c r="H202" s="479"/>
      <c r="I202" s="479"/>
      <c r="J202" s="479"/>
      <c r="K202" s="479"/>
      <c r="L202" s="479"/>
      <c r="M202" s="479"/>
      <c r="N202" s="479"/>
      <c r="O202" s="479"/>
      <c r="P202" s="479"/>
      <c r="Q202" s="479"/>
      <c r="R202" s="479"/>
      <c r="S202" s="479"/>
    </row>
    <row r="203" spans="1:19" ht="15" hidden="1">
      <c r="A203" s="479"/>
      <c r="B203" s="479"/>
      <c r="C203" s="479"/>
      <c r="D203" s="479"/>
      <c r="E203" s="479"/>
      <c r="F203" s="479"/>
      <c r="G203" s="479"/>
      <c r="H203" s="479"/>
      <c r="I203" s="479"/>
      <c r="J203" s="479"/>
      <c r="K203" s="479"/>
      <c r="L203" s="479"/>
      <c r="M203" s="479"/>
      <c r="N203" s="479"/>
      <c r="O203" s="479"/>
      <c r="P203" s="479"/>
      <c r="Q203" s="479"/>
      <c r="R203" s="479"/>
      <c r="S203" s="479"/>
    </row>
    <row r="204" spans="1:19" ht="15" hidden="1">
      <c r="A204" s="479"/>
      <c r="B204" s="479"/>
      <c r="C204" s="479"/>
      <c r="D204" s="479"/>
      <c r="E204" s="479"/>
      <c r="F204" s="479"/>
      <c r="G204" s="479"/>
      <c r="H204" s="479"/>
      <c r="I204" s="479"/>
      <c r="J204" s="479"/>
      <c r="K204" s="479"/>
      <c r="L204" s="479"/>
      <c r="M204" s="479"/>
      <c r="N204" s="479"/>
      <c r="O204" s="479"/>
      <c r="P204" s="479"/>
      <c r="Q204" s="479"/>
      <c r="R204" s="479"/>
      <c r="S204" s="479"/>
    </row>
    <row r="205" spans="1:19" ht="15" hidden="1">
      <c r="A205" s="479"/>
      <c r="B205" s="479"/>
      <c r="C205" s="479"/>
      <c r="D205" s="479"/>
      <c r="E205" s="479"/>
      <c r="F205" s="479"/>
      <c r="G205" s="479"/>
      <c r="H205" s="479"/>
      <c r="I205" s="479"/>
      <c r="J205" s="479"/>
      <c r="K205" s="479"/>
      <c r="L205" s="479"/>
      <c r="M205" s="479"/>
      <c r="N205" s="479"/>
      <c r="O205" s="479"/>
      <c r="P205" s="479"/>
      <c r="Q205" s="479"/>
      <c r="R205" s="479"/>
      <c r="S205" s="479"/>
    </row>
    <row r="206" spans="1:19" ht="15" hidden="1">
      <c r="A206" s="479"/>
      <c r="B206" s="479"/>
      <c r="C206" s="479"/>
      <c r="D206" s="479"/>
      <c r="E206" s="479"/>
      <c r="F206" s="479"/>
      <c r="G206" s="479"/>
      <c r="H206" s="479"/>
      <c r="I206" s="479"/>
      <c r="J206" s="479"/>
      <c r="K206" s="479"/>
      <c r="L206" s="479"/>
      <c r="M206" s="479"/>
      <c r="N206" s="479"/>
      <c r="O206" s="479"/>
      <c r="P206" s="479"/>
      <c r="Q206" s="479"/>
      <c r="R206" s="479"/>
      <c r="S206" s="479"/>
    </row>
    <row r="207" spans="1:19" ht="15" hidden="1">
      <c r="A207" s="479"/>
      <c r="B207" s="479"/>
      <c r="C207" s="479"/>
      <c r="D207" s="479"/>
      <c r="E207" s="479"/>
      <c r="F207" s="479"/>
      <c r="G207" s="479"/>
      <c r="H207" s="479"/>
      <c r="I207" s="479"/>
      <c r="J207" s="479"/>
      <c r="K207" s="479"/>
      <c r="L207" s="479"/>
      <c r="M207" s="479"/>
      <c r="N207" s="479"/>
      <c r="O207" s="479"/>
      <c r="P207" s="479"/>
      <c r="Q207" s="479"/>
      <c r="R207" s="479"/>
      <c r="S207" s="479"/>
    </row>
    <row r="208" spans="1:19" ht="15" hidden="1">
      <c r="A208" s="479"/>
      <c r="B208" s="479"/>
      <c r="C208" s="479"/>
      <c r="D208" s="479"/>
      <c r="E208" s="479"/>
      <c r="F208" s="479"/>
      <c r="G208" s="479"/>
      <c r="H208" s="479"/>
      <c r="I208" s="479"/>
      <c r="J208" s="479"/>
      <c r="K208" s="479"/>
      <c r="L208" s="479"/>
      <c r="M208" s="479"/>
      <c r="N208" s="479"/>
      <c r="O208" s="479"/>
      <c r="P208" s="479"/>
      <c r="Q208" s="479"/>
      <c r="R208" s="479"/>
      <c r="S208" s="479"/>
    </row>
    <row r="209" spans="1:19" ht="15" hidden="1">
      <c r="A209" s="479"/>
      <c r="B209" s="479"/>
      <c r="C209" s="479"/>
      <c r="D209" s="479"/>
      <c r="E209" s="479"/>
      <c r="F209" s="479"/>
      <c r="G209" s="479"/>
      <c r="H209" s="479"/>
      <c r="I209" s="479"/>
      <c r="J209" s="479"/>
      <c r="K209" s="479"/>
      <c r="L209" s="479"/>
      <c r="M209" s="479"/>
      <c r="N209" s="479"/>
      <c r="O209" s="479"/>
      <c r="P209" s="479"/>
      <c r="Q209" s="479"/>
      <c r="R209" s="479"/>
      <c r="S209" s="479"/>
    </row>
    <row r="210" spans="1:19" ht="15" hidden="1">
      <c r="A210" s="479"/>
      <c r="B210" s="479"/>
      <c r="C210" s="479"/>
      <c r="D210" s="479"/>
      <c r="E210" s="479"/>
      <c r="F210" s="479"/>
      <c r="G210" s="479"/>
      <c r="H210" s="479"/>
      <c r="I210" s="479"/>
      <c r="J210" s="479"/>
      <c r="K210" s="479"/>
      <c r="L210" s="479"/>
      <c r="M210" s="479"/>
      <c r="N210" s="479"/>
      <c r="O210" s="479"/>
      <c r="P210" s="479"/>
      <c r="Q210" s="479"/>
      <c r="R210" s="479"/>
      <c r="S210" s="479"/>
    </row>
    <row r="211" spans="1:19" ht="15" hidden="1">
      <c r="A211" s="479"/>
      <c r="B211" s="479"/>
      <c r="C211" s="479"/>
      <c r="D211" s="479"/>
      <c r="E211" s="479"/>
      <c r="F211" s="479"/>
      <c r="G211" s="479"/>
      <c r="H211" s="479"/>
      <c r="I211" s="479"/>
      <c r="J211" s="479"/>
      <c r="K211" s="479"/>
      <c r="L211" s="479"/>
      <c r="M211" s="479"/>
      <c r="N211" s="479"/>
      <c r="O211" s="479"/>
      <c r="P211" s="479"/>
      <c r="Q211" s="479"/>
      <c r="R211" s="479"/>
      <c r="S211" s="479"/>
    </row>
    <row r="212" spans="1:19" ht="15" hidden="1">
      <c r="A212" s="479"/>
      <c r="B212" s="479"/>
      <c r="C212" s="479"/>
      <c r="D212" s="479"/>
      <c r="E212" s="479"/>
      <c r="F212" s="479"/>
      <c r="G212" s="479"/>
      <c r="H212" s="479"/>
      <c r="I212" s="479"/>
      <c r="J212" s="479"/>
      <c r="K212" s="479"/>
      <c r="L212" s="479"/>
      <c r="M212" s="479"/>
      <c r="N212" s="479"/>
      <c r="O212" s="479"/>
      <c r="P212" s="479"/>
      <c r="Q212" s="479"/>
      <c r="R212" s="479"/>
      <c r="S212" s="479"/>
    </row>
    <row r="213" spans="1:19" ht="15" hidden="1">
      <c r="A213" s="479"/>
      <c r="B213" s="479"/>
      <c r="C213" s="479"/>
      <c r="D213" s="479"/>
      <c r="E213" s="479"/>
      <c r="F213" s="479"/>
      <c r="G213" s="479"/>
      <c r="H213" s="479"/>
      <c r="I213" s="479"/>
      <c r="J213" s="479"/>
      <c r="K213" s="479"/>
      <c r="L213" s="479"/>
      <c r="M213" s="479"/>
      <c r="N213" s="479"/>
      <c r="O213" s="479"/>
      <c r="P213" s="479"/>
      <c r="Q213" s="479"/>
      <c r="R213" s="479"/>
      <c r="S213" s="479"/>
    </row>
    <row r="214" spans="1:19" ht="15" hidden="1">
      <c r="A214" s="479"/>
      <c r="B214" s="479"/>
      <c r="C214" s="479"/>
      <c r="D214" s="479"/>
      <c r="E214" s="479"/>
      <c r="F214" s="479"/>
      <c r="G214" s="479"/>
      <c r="H214" s="479"/>
      <c r="I214" s="479"/>
      <c r="J214" s="479"/>
      <c r="K214" s="479"/>
      <c r="L214" s="479"/>
      <c r="M214" s="479"/>
      <c r="N214" s="479"/>
      <c r="O214" s="479"/>
      <c r="P214" s="479"/>
      <c r="Q214" s="479"/>
      <c r="R214" s="479"/>
      <c r="S214" s="479"/>
    </row>
    <row r="215" spans="1:19" ht="15" hidden="1">
      <c r="A215" s="479"/>
      <c r="B215" s="479"/>
      <c r="C215" s="479"/>
      <c r="D215" s="479"/>
      <c r="E215" s="479"/>
      <c r="F215" s="479"/>
      <c r="G215" s="479"/>
      <c r="H215" s="479"/>
      <c r="I215" s="479"/>
      <c r="J215" s="479"/>
      <c r="K215" s="479"/>
      <c r="L215" s="479"/>
      <c r="M215" s="479"/>
      <c r="N215" s="479"/>
      <c r="O215" s="479"/>
      <c r="P215" s="479"/>
      <c r="Q215" s="479"/>
      <c r="R215" s="479"/>
      <c r="S215" s="479"/>
    </row>
    <row r="216" spans="1:19" ht="15" hidden="1">
      <c r="A216" s="479"/>
      <c r="B216" s="479"/>
      <c r="C216" s="479"/>
      <c r="D216" s="479"/>
      <c r="E216" s="479"/>
      <c r="F216" s="479"/>
      <c r="G216" s="479"/>
      <c r="H216" s="479"/>
      <c r="I216" s="479"/>
      <c r="J216" s="479"/>
      <c r="K216" s="479"/>
      <c r="L216" s="479"/>
      <c r="M216" s="479"/>
      <c r="N216" s="479"/>
      <c r="O216" s="479"/>
      <c r="P216" s="479"/>
      <c r="Q216" s="479"/>
      <c r="R216" s="479"/>
      <c r="S216" s="479"/>
    </row>
    <row r="217" spans="1:19" ht="15" hidden="1">
      <c r="A217" s="479"/>
      <c r="B217" s="479"/>
      <c r="C217" s="479"/>
      <c r="D217" s="479"/>
      <c r="E217" s="479"/>
      <c r="F217" s="479"/>
      <c r="G217" s="479"/>
      <c r="H217" s="479"/>
      <c r="I217" s="479"/>
      <c r="J217" s="479"/>
      <c r="K217" s="479"/>
      <c r="L217" s="479"/>
      <c r="M217" s="479"/>
      <c r="N217" s="479"/>
      <c r="O217" s="479"/>
      <c r="P217" s="479"/>
      <c r="Q217" s="479"/>
      <c r="R217" s="479"/>
      <c r="S217" s="479"/>
    </row>
    <row r="218" spans="1:19" ht="15" hidden="1">
      <c r="A218" s="479"/>
      <c r="B218" s="479"/>
      <c r="C218" s="479"/>
      <c r="D218" s="479"/>
      <c r="E218" s="479"/>
      <c r="F218" s="479"/>
      <c r="G218" s="479"/>
      <c r="H218" s="479"/>
      <c r="I218" s="479"/>
      <c r="J218" s="479"/>
      <c r="K218" s="479"/>
      <c r="L218" s="479"/>
      <c r="M218" s="479"/>
      <c r="N218" s="479"/>
      <c r="O218" s="479"/>
      <c r="P218" s="479"/>
      <c r="Q218" s="479"/>
      <c r="R218" s="479"/>
      <c r="S218" s="479"/>
    </row>
    <row r="219" spans="1:19" ht="15" hidden="1">
      <c r="A219" s="479"/>
      <c r="B219" s="479"/>
      <c r="C219" s="479"/>
      <c r="D219" s="479"/>
      <c r="E219" s="479"/>
      <c r="F219" s="479"/>
      <c r="G219" s="479"/>
      <c r="H219" s="479"/>
      <c r="I219" s="479"/>
      <c r="J219" s="479"/>
      <c r="K219" s="479"/>
      <c r="L219" s="479"/>
      <c r="M219" s="479"/>
      <c r="N219" s="479"/>
      <c r="O219" s="479"/>
      <c r="P219" s="479"/>
      <c r="Q219" s="479"/>
      <c r="R219" s="479"/>
      <c r="S219" s="479"/>
    </row>
    <row r="220" spans="1:19" ht="15" hidden="1">
      <c r="A220" s="479"/>
      <c r="B220" s="479"/>
      <c r="C220" s="479"/>
      <c r="D220" s="479"/>
      <c r="E220" s="479"/>
      <c r="F220" s="479"/>
      <c r="G220" s="479"/>
      <c r="H220" s="479"/>
      <c r="I220" s="479"/>
      <c r="J220" s="479"/>
      <c r="K220" s="479"/>
      <c r="L220" s="479"/>
      <c r="M220" s="479"/>
      <c r="N220" s="479"/>
      <c r="O220" s="479"/>
      <c r="P220" s="479"/>
      <c r="Q220" s="479"/>
      <c r="R220" s="479"/>
      <c r="S220" s="479"/>
    </row>
    <row r="221" spans="1:19" ht="15" hidden="1">
      <c r="A221" s="479"/>
      <c r="B221" s="479"/>
      <c r="C221" s="479"/>
      <c r="D221" s="479"/>
      <c r="E221" s="479"/>
      <c r="F221" s="479"/>
      <c r="G221" s="479"/>
      <c r="H221" s="479"/>
      <c r="I221" s="479"/>
      <c r="J221" s="479"/>
      <c r="K221" s="479"/>
      <c r="L221" s="479"/>
      <c r="M221" s="479"/>
      <c r="N221" s="479"/>
      <c r="O221" s="479"/>
      <c r="P221" s="479"/>
      <c r="Q221" s="479"/>
      <c r="R221" s="479"/>
      <c r="S221" s="479"/>
    </row>
    <row r="222" spans="1:19" ht="15" hidden="1">
      <c r="A222" s="479"/>
      <c r="B222" s="479"/>
      <c r="C222" s="479"/>
      <c r="D222" s="479"/>
      <c r="E222" s="479"/>
      <c r="F222" s="479"/>
      <c r="G222" s="479"/>
      <c r="H222" s="479"/>
      <c r="I222" s="479"/>
      <c r="J222" s="479"/>
      <c r="K222" s="479"/>
      <c r="L222" s="479"/>
      <c r="M222" s="479"/>
      <c r="N222" s="479"/>
      <c r="O222" s="479"/>
      <c r="P222" s="479"/>
      <c r="Q222" s="479"/>
      <c r="R222" s="479"/>
      <c r="S222" s="479"/>
    </row>
    <row r="223" spans="1:19" ht="15" hidden="1">
      <c r="A223" s="479"/>
      <c r="B223" s="479"/>
      <c r="C223" s="479"/>
      <c r="D223" s="479"/>
      <c r="E223" s="479"/>
      <c r="F223" s="479"/>
      <c r="G223" s="479"/>
      <c r="H223" s="479"/>
      <c r="I223" s="479"/>
      <c r="J223" s="479"/>
      <c r="K223" s="479"/>
      <c r="L223" s="479"/>
      <c r="M223" s="479"/>
      <c r="N223" s="479"/>
      <c r="O223" s="479"/>
      <c r="P223" s="479"/>
      <c r="Q223" s="479"/>
      <c r="R223" s="479"/>
      <c r="S223" s="479"/>
    </row>
    <row r="224" spans="1:19" ht="15" hidden="1">
      <c r="A224" s="479"/>
      <c r="B224" s="479"/>
      <c r="C224" s="479"/>
      <c r="D224" s="479"/>
      <c r="E224" s="479"/>
      <c r="F224" s="479"/>
      <c r="G224" s="479"/>
      <c r="H224" s="479"/>
      <c r="I224" s="479"/>
      <c r="J224" s="479"/>
      <c r="K224" s="479"/>
      <c r="L224" s="479"/>
      <c r="M224" s="479"/>
      <c r="N224" s="479"/>
      <c r="O224" s="479"/>
      <c r="P224" s="479"/>
      <c r="Q224" s="479"/>
      <c r="R224" s="479"/>
      <c r="S224" s="479"/>
    </row>
    <row r="225" spans="1:19" ht="15" hidden="1">
      <c r="A225" s="479"/>
      <c r="B225" s="479"/>
      <c r="C225" s="479"/>
      <c r="D225" s="479"/>
      <c r="E225" s="479"/>
      <c r="F225" s="479"/>
      <c r="G225" s="479"/>
      <c r="H225" s="479"/>
      <c r="I225" s="479"/>
      <c r="J225" s="479"/>
      <c r="K225" s="479"/>
      <c r="L225" s="479"/>
      <c r="M225" s="479"/>
      <c r="N225" s="479"/>
      <c r="O225" s="479"/>
      <c r="P225" s="479"/>
      <c r="Q225" s="479"/>
      <c r="R225" s="479"/>
      <c r="S225" s="479"/>
    </row>
    <row r="226" spans="1:19" ht="15" hidden="1">
      <c r="A226" s="479"/>
      <c r="B226" s="479"/>
      <c r="C226" s="479"/>
      <c r="D226" s="479"/>
      <c r="E226" s="479"/>
      <c r="F226" s="479"/>
      <c r="G226" s="479"/>
      <c r="H226" s="479"/>
      <c r="I226" s="479"/>
      <c r="J226" s="479"/>
      <c r="K226" s="479"/>
      <c r="L226" s="479"/>
      <c r="M226" s="479"/>
      <c r="N226" s="479"/>
      <c r="O226" s="479"/>
      <c r="P226" s="479"/>
      <c r="Q226" s="479"/>
      <c r="R226" s="479"/>
      <c r="S226" s="479"/>
    </row>
    <row r="227" spans="1:19" ht="15" hidden="1">
      <c r="A227" s="479"/>
      <c r="B227" s="479"/>
      <c r="C227" s="479"/>
      <c r="D227" s="479"/>
      <c r="E227" s="479"/>
      <c r="F227" s="479"/>
      <c r="G227" s="479"/>
      <c r="H227" s="479"/>
      <c r="I227" s="479"/>
      <c r="J227" s="479"/>
      <c r="K227" s="479"/>
      <c r="L227" s="479"/>
      <c r="M227" s="479"/>
      <c r="N227" s="479"/>
      <c r="O227" s="479"/>
      <c r="P227" s="479"/>
      <c r="Q227" s="479"/>
      <c r="R227" s="479"/>
      <c r="S227" s="479"/>
    </row>
    <row r="228" spans="1:19" ht="15" hidden="1">
      <c r="A228" s="479"/>
      <c r="B228" s="479"/>
      <c r="C228" s="479"/>
      <c r="D228" s="479"/>
      <c r="E228" s="479"/>
      <c r="F228" s="479"/>
      <c r="G228" s="479"/>
      <c r="H228" s="479"/>
      <c r="I228" s="479"/>
      <c r="J228" s="479"/>
      <c r="K228" s="479"/>
      <c r="L228" s="479"/>
      <c r="M228" s="479"/>
      <c r="N228" s="479"/>
      <c r="O228" s="479"/>
      <c r="P228" s="479"/>
      <c r="Q228" s="479"/>
      <c r="R228" s="479"/>
      <c r="S228" s="479"/>
    </row>
    <row r="229" spans="1:19" ht="15" hidden="1">
      <c r="A229" s="479"/>
      <c r="B229" s="479"/>
      <c r="C229" s="479"/>
      <c r="D229" s="479"/>
      <c r="E229" s="479"/>
      <c r="F229" s="479"/>
      <c r="G229" s="479"/>
      <c r="H229" s="479"/>
      <c r="I229" s="479"/>
      <c r="J229" s="479"/>
      <c r="K229" s="479"/>
      <c r="L229" s="479"/>
      <c r="M229" s="479"/>
      <c r="N229" s="479"/>
      <c r="O229" s="479"/>
      <c r="P229" s="479"/>
      <c r="Q229" s="479"/>
      <c r="R229" s="479"/>
      <c r="S229" s="479"/>
    </row>
    <row r="230" spans="1:19" ht="15" hidden="1">
      <c r="A230" s="479"/>
      <c r="B230" s="479"/>
      <c r="C230" s="479"/>
      <c r="D230" s="479"/>
      <c r="E230" s="479"/>
      <c r="F230" s="479"/>
      <c r="G230" s="479"/>
      <c r="H230" s="479"/>
      <c r="I230" s="479"/>
      <c r="J230" s="479"/>
      <c r="K230" s="479"/>
      <c r="L230" s="479"/>
      <c r="M230" s="479"/>
      <c r="N230" s="479"/>
      <c r="O230" s="479"/>
      <c r="P230" s="479"/>
      <c r="Q230" s="479"/>
      <c r="R230" s="479"/>
      <c r="S230" s="479"/>
    </row>
    <row r="231" spans="1:19" ht="15" hidden="1">
      <c r="A231" s="479"/>
      <c r="B231" s="479"/>
      <c r="C231" s="479"/>
      <c r="D231" s="479"/>
      <c r="E231" s="479"/>
      <c r="F231" s="479"/>
      <c r="G231" s="479"/>
      <c r="H231" s="479"/>
      <c r="I231" s="479"/>
      <c r="J231" s="479"/>
      <c r="K231" s="479"/>
      <c r="L231" s="479"/>
      <c r="M231" s="479"/>
      <c r="N231" s="479"/>
      <c r="O231" s="479"/>
      <c r="P231" s="479"/>
      <c r="Q231" s="479"/>
      <c r="R231" s="479"/>
      <c r="S231" s="479"/>
    </row>
    <row r="232" spans="1:19" ht="15" hidden="1">
      <c r="A232" s="479"/>
      <c r="B232" s="479"/>
      <c r="C232" s="479"/>
      <c r="D232" s="479"/>
      <c r="E232" s="479"/>
      <c r="F232" s="479"/>
      <c r="G232" s="479"/>
      <c r="H232" s="479"/>
      <c r="I232" s="479"/>
      <c r="J232" s="479"/>
      <c r="K232" s="479"/>
      <c r="L232" s="479"/>
      <c r="M232" s="479"/>
      <c r="N232" s="479"/>
      <c r="O232" s="479"/>
      <c r="P232" s="479"/>
      <c r="Q232" s="479"/>
      <c r="R232" s="479"/>
      <c r="S232" s="479"/>
    </row>
    <row r="233" spans="1:19" ht="15" hidden="1">
      <c r="A233" s="479"/>
      <c r="B233" s="479"/>
      <c r="C233" s="479"/>
      <c r="D233" s="479"/>
      <c r="E233" s="479"/>
      <c r="F233" s="479"/>
      <c r="G233" s="479"/>
      <c r="H233" s="479"/>
      <c r="I233" s="479"/>
      <c r="J233" s="479"/>
      <c r="K233" s="479"/>
      <c r="L233" s="479"/>
      <c r="M233" s="479"/>
      <c r="N233" s="479"/>
      <c r="O233" s="479"/>
      <c r="P233" s="479"/>
      <c r="Q233" s="479"/>
      <c r="R233" s="479"/>
      <c r="S233" s="479"/>
    </row>
    <row r="234" spans="1:19" ht="15" hidden="1">
      <c r="A234" s="479"/>
      <c r="B234" s="479"/>
      <c r="C234" s="479"/>
      <c r="D234" s="479"/>
      <c r="E234" s="479"/>
      <c r="F234" s="479"/>
      <c r="G234" s="479"/>
      <c r="H234" s="479"/>
      <c r="I234" s="479"/>
      <c r="J234" s="479"/>
      <c r="K234" s="479"/>
      <c r="L234" s="479"/>
      <c r="M234" s="479"/>
      <c r="N234" s="479"/>
      <c r="O234" s="479"/>
      <c r="P234" s="479"/>
      <c r="Q234" s="479"/>
      <c r="R234" s="479"/>
      <c r="S234" s="479"/>
    </row>
    <row r="235" spans="1:19" ht="15" hidden="1">
      <c r="A235" s="479"/>
      <c r="B235" s="479"/>
      <c r="C235" s="479"/>
      <c r="D235" s="479"/>
      <c r="E235" s="479"/>
      <c r="F235" s="479"/>
      <c r="G235" s="479"/>
      <c r="H235" s="479"/>
      <c r="I235" s="479"/>
      <c r="J235" s="479"/>
      <c r="K235" s="479"/>
      <c r="L235" s="479"/>
      <c r="M235" s="479"/>
      <c r="N235" s="479"/>
      <c r="O235" s="479"/>
      <c r="P235" s="479"/>
      <c r="Q235" s="479"/>
      <c r="R235" s="479"/>
      <c r="S235" s="479"/>
    </row>
    <row r="236" spans="1:19" ht="15" hidden="1">
      <c r="A236" s="479"/>
      <c r="B236" s="479"/>
      <c r="C236" s="479"/>
      <c r="D236" s="479"/>
      <c r="E236" s="479"/>
      <c r="F236" s="479"/>
      <c r="G236" s="479"/>
      <c r="H236" s="479"/>
      <c r="I236" s="479"/>
      <c r="J236" s="479"/>
      <c r="K236" s="479"/>
      <c r="L236" s="479"/>
      <c r="M236" s="479"/>
      <c r="N236" s="479"/>
      <c r="O236" s="479"/>
      <c r="P236" s="479"/>
      <c r="Q236" s="479"/>
      <c r="R236" s="479"/>
      <c r="S236" s="479"/>
    </row>
    <row r="237" spans="1:19" ht="15" hidden="1">
      <c r="A237" s="479"/>
      <c r="B237" s="479"/>
      <c r="C237" s="479"/>
      <c r="D237" s="479"/>
      <c r="E237" s="479"/>
      <c r="F237" s="479"/>
      <c r="G237" s="479"/>
      <c r="H237" s="479"/>
      <c r="I237" s="479"/>
      <c r="J237" s="479"/>
      <c r="K237" s="479"/>
      <c r="L237" s="479"/>
      <c r="M237" s="479"/>
      <c r="N237" s="479"/>
      <c r="O237" s="479"/>
      <c r="P237" s="479"/>
      <c r="Q237" s="479"/>
      <c r="R237" s="479"/>
      <c r="S237" s="479"/>
    </row>
    <row r="238" spans="1:19" ht="15" hidden="1">
      <c r="A238" s="479"/>
      <c r="B238" s="479"/>
      <c r="C238" s="479"/>
      <c r="D238" s="479"/>
      <c r="E238" s="479"/>
      <c r="F238" s="479"/>
      <c r="G238" s="479"/>
      <c r="H238" s="479"/>
      <c r="I238" s="479"/>
      <c r="J238" s="479"/>
      <c r="K238" s="479"/>
      <c r="L238" s="479"/>
      <c r="M238" s="479"/>
      <c r="N238" s="479"/>
      <c r="O238" s="479"/>
      <c r="P238" s="479"/>
      <c r="Q238" s="479"/>
      <c r="R238" s="479"/>
      <c r="S238" s="479"/>
    </row>
    <row r="239" spans="1:19" ht="15" hidden="1">
      <c r="A239" s="479"/>
      <c r="B239" s="479"/>
      <c r="C239" s="479"/>
      <c r="D239" s="479"/>
      <c r="E239" s="479"/>
      <c r="F239" s="479"/>
      <c r="G239" s="479"/>
      <c r="H239" s="479"/>
      <c r="I239" s="479"/>
      <c r="J239" s="479"/>
      <c r="K239" s="479"/>
      <c r="L239" s="479"/>
      <c r="M239" s="479"/>
      <c r="N239" s="479"/>
      <c r="O239" s="479"/>
      <c r="P239" s="479"/>
      <c r="Q239" s="479"/>
      <c r="R239" s="479"/>
      <c r="S239" s="479"/>
    </row>
    <row r="240" spans="1:19" ht="15" hidden="1">
      <c r="A240" s="479"/>
      <c r="B240" s="479"/>
      <c r="C240" s="479"/>
      <c r="D240" s="479"/>
      <c r="E240" s="479"/>
      <c r="F240" s="479"/>
      <c r="G240" s="479"/>
      <c r="H240" s="479"/>
      <c r="I240" s="479"/>
      <c r="J240" s="479"/>
      <c r="K240" s="479"/>
      <c r="L240" s="479"/>
      <c r="M240" s="479"/>
      <c r="N240" s="479"/>
      <c r="O240" s="479"/>
      <c r="P240" s="479"/>
      <c r="Q240" s="479"/>
      <c r="R240" s="479"/>
      <c r="S240" s="479"/>
    </row>
    <row r="241" spans="1:19" ht="15" hidden="1">
      <c r="A241" s="479"/>
      <c r="B241" s="479"/>
      <c r="C241" s="479"/>
      <c r="D241" s="479"/>
      <c r="E241" s="479"/>
      <c r="F241" s="479"/>
      <c r="G241" s="479"/>
      <c r="H241" s="479"/>
      <c r="I241" s="479"/>
      <c r="J241" s="479"/>
      <c r="K241" s="479"/>
      <c r="L241" s="479"/>
      <c r="M241" s="479"/>
      <c r="N241" s="479"/>
      <c r="O241" s="479"/>
      <c r="P241" s="479"/>
      <c r="Q241" s="479"/>
      <c r="R241" s="479"/>
      <c r="S241" s="479"/>
    </row>
    <row r="242" spans="1:19" ht="15" hidden="1">
      <c r="A242" s="479"/>
      <c r="B242" s="479"/>
      <c r="C242" s="479"/>
      <c r="D242" s="479"/>
      <c r="E242" s="479"/>
      <c r="F242" s="479"/>
      <c r="G242" s="479"/>
      <c r="H242" s="479"/>
      <c r="I242" s="479"/>
      <c r="J242" s="479"/>
      <c r="K242" s="479"/>
      <c r="L242" s="479"/>
      <c r="M242" s="479"/>
      <c r="N242" s="479"/>
      <c r="O242" s="479"/>
      <c r="P242" s="479"/>
      <c r="Q242" s="479"/>
      <c r="R242" s="479"/>
      <c r="S242" s="479"/>
    </row>
    <row r="243" spans="1:19" ht="15" hidden="1">
      <c r="A243" s="479"/>
      <c r="B243" s="479"/>
      <c r="C243" s="479"/>
      <c r="D243" s="479"/>
      <c r="E243" s="479"/>
      <c r="F243" s="479"/>
      <c r="G243" s="479"/>
      <c r="H243" s="479"/>
      <c r="I243" s="479"/>
      <c r="J243" s="479"/>
      <c r="K243" s="479"/>
      <c r="L243" s="479"/>
      <c r="M243" s="479"/>
      <c r="N243" s="479"/>
      <c r="O243" s="479"/>
      <c r="P243" s="479"/>
      <c r="Q243" s="479"/>
      <c r="R243" s="479"/>
      <c r="S243" s="479"/>
    </row>
    <row r="244" spans="1:19" ht="15" hidden="1">
      <c r="A244" s="479"/>
      <c r="B244" s="479"/>
      <c r="C244" s="479"/>
      <c r="D244" s="479"/>
      <c r="E244" s="479"/>
      <c r="F244" s="479"/>
      <c r="G244" s="479"/>
      <c r="H244" s="479"/>
      <c r="I244" s="479"/>
      <c r="J244" s="479"/>
      <c r="K244" s="479"/>
      <c r="L244" s="479"/>
      <c r="M244" s="479"/>
      <c r="N244" s="479"/>
      <c r="O244" s="479"/>
      <c r="P244" s="479"/>
      <c r="Q244" s="479"/>
      <c r="R244" s="479"/>
      <c r="S244" s="479"/>
    </row>
    <row r="245" spans="1:19" ht="15" hidden="1">
      <c r="A245" s="479"/>
      <c r="B245" s="479"/>
      <c r="C245" s="479"/>
      <c r="D245" s="479"/>
      <c r="E245" s="479"/>
      <c r="F245" s="479"/>
      <c r="G245" s="479"/>
      <c r="H245" s="479"/>
      <c r="I245" s="479"/>
      <c r="J245" s="479"/>
      <c r="K245" s="479"/>
      <c r="L245" s="479"/>
      <c r="M245" s="479"/>
      <c r="N245" s="479"/>
      <c r="O245" s="479"/>
      <c r="P245" s="479"/>
      <c r="Q245" s="479"/>
      <c r="R245" s="479"/>
      <c r="S245" s="479"/>
    </row>
    <row r="246" spans="1:19" ht="15" hidden="1">
      <c r="A246" s="479"/>
      <c r="B246" s="479"/>
      <c r="C246" s="479"/>
      <c r="D246" s="479"/>
      <c r="E246" s="479"/>
      <c r="F246" s="479"/>
      <c r="G246" s="479"/>
      <c r="H246" s="479"/>
      <c r="I246" s="479"/>
      <c r="J246" s="479"/>
      <c r="K246" s="479"/>
      <c r="L246" s="479"/>
      <c r="M246" s="479"/>
      <c r="N246" s="479"/>
      <c r="O246" s="479"/>
      <c r="P246" s="479"/>
      <c r="Q246" s="479"/>
      <c r="R246" s="479"/>
      <c r="S246" s="479"/>
    </row>
    <row r="247" spans="1:19" ht="15" hidden="1">
      <c r="A247" s="479"/>
      <c r="B247" s="479"/>
      <c r="C247" s="479"/>
      <c r="D247" s="479"/>
      <c r="E247" s="479"/>
      <c r="F247" s="479"/>
      <c r="G247" s="479"/>
      <c r="H247" s="479"/>
      <c r="I247" s="479"/>
      <c r="J247" s="479"/>
      <c r="K247" s="479"/>
      <c r="L247" s="479"/>
      <c r="M247" s="479"/>
      <c r="N247" s="479"/>
      <c r="O247" s="479"/>
      <c r="P247" s="479"/>
      <c r="Q247" s="479"/>
      <c r="R247" s="479"/>
      <c r="S247" s="479"/>
    </row>
    <row r="248" spans="1:19" ht="15" hidden="1">
      <c r="A248" s="479"/>
      <c r="B248" s="479"/>
      <c r="C248" s="479"/>
      <c r="D248" s="479"/>
      <c r="E248" s="479"/>
      <c r="F248" s="479"/>
      <c r="G248" s="479"/>
      <c r="H248" s="479"/>
      <c r="I248" s="479"/>
      <c r="J248" s="479"/>
      <c r="K248" s="479"/>
      <c r="L248" s="479"/>
      <c r="M248" s="479"/>
      <c r="N248" s="479"/>
      <c r="O248" s="479"/>
      <c r="P248" s="479"/>
      <c r="Q248" s="479"/>
      <c r="R248" s="479"/>
      <c r="S248" s="479"/>
    </row>
    <row r="249" spans="1:19" ht="15" hidden="1">
      <c r="A249" s="479"/>
      <c r="B249" s="479"/>
      <c r="C249" s="479"/>
      <c r="D249" s="479"/>
      <c r="E249" s="479"/>
      <c r="F249" s="479"/>
      <c r="G249" s="479"/>
      <c r="H249" s="479"/>
      <c r="I249" s="479"/>
      <c r="J249" s="479"/>
      <c r="K249" s="479"/>
      <c r="L249" s="479"/>
      <c r="M249" s="479"/>
      <c r="N249" s="479"/>
      <c r="O249" s="479"/>
      <c r="P249" s="479"/>
      <c r="Q249" s="479"/>
      <c r="R249" s="479"/>
      <c r="S249" s="479"/>
    </row>
    <row r="250" spans="1:19" ht="15" hidden="1">
      <c r="A250" s="479"/>
      <c r="B250" s="479"/>
      <c r="C250" s="479"/>
      <c r="D250" s="479"/>
      <c r="E250" s="479"/>
      <c r="F250" s="479"/>
      <c r="G250" s="479"/>
      <c r="H250" s="479"/>
      <c r="I250" s="479"/>
      <c r="J250" s="479"/>
      <c r="K250" s="479"/>
      <c r="L250" s="479"/>
      <c r="M250" s="479"/>
      <c r="N250" s="479"/>
      <c r="O250" s="479"/>
      <c r="P250" s="479"/>
      <c r="Q250" s="479"/>
      <c r="R250" s="479"/>
      <c r="S250" s="479"/>
    </row>
    <row r="251" spans="1:19" ht="15" hidden="1">
      <c r="A251" s="479"/>
      <c r="B251" s="479"/>
      <c r="C251" s="479"/>
      <c r="D251" s="479"/>
      <c r="E251" s="479"/>
      <c r="F251" s="479"/>
      <c r="G251" s="479"/>
      <c r="H251" s="479"/>
      <c r="I251" s="479"/>
      <c r="J251" s="479"/>
      <c r="K251" s="479"/>
      <c r="L251" s="479"/>
      <c r="M251" s="479"/>
      <c r="N251" s="479"/>
      <c r="O251" s="479"/>
      <c r="P251" s="479"/>
      <c r="Q251" s="479"/>
      <c r="R251" s="479"/>
      <c r="S251" s="479"/>
    </row>
    <row r="252" spans="1:19" ht="15" hidden="1">
      <c r="A252" s="479"/>
      <c r="B252" s="479"/>
      <c r="C252" s="479"/>
      <c r="D252" s="479"/>
      <c r="E252" s="479"/>
      <c r="F252" s="479"/>
      <c r="G252" s="479"/>
      <c r="H252" s="479"/>
      <c r="I252" s="479"/>
      <c r="J252" s="479"/>
      <c r="K252" s="479"/>
      <c r="L252" s="479"/>
      <c r="M252" s="479"/>
      <c r="N252" s="479"/>
      <c r="O252" s="479"/>
      <c r="P252" s="479"/>
      <c r="Q252" s="479"/>
      <c r="R252" s="479"/>
      <c r="S252" s="479"/>
    </row>
    <row r="253" spans="1:19" ht="15" hidden="1">
      <c r="A253" s="479"/>
      <c r="B253" s="479"/>
      <c r="C253" s="479"/>
      <c r="D253" s="479"/>
      <c r="E253" s="479"/>
      <c r="F253" s="479"/>
      <c r="G253" s="479"/>
      <c r="H253" s="479"/>
      <c r="I253" s="479"/>
      <c r="J253" s="479"/>
      <c r="K253" s="479"/>
      <c r="L253" s="479"/>
      <c r="M253" s="479"/>
      <c r="N253" s="479"/>
      <c r="O253" s="479"/>
      <c r="P253" s="479"/>
      <c r="Q253" s="479"/>
      <c r="R253" s="479"/>
      <c r="S253" s="479"/>
    </row>
    <row r="254" spans="1:19" ht="15" hidden="1">
      <c r="A254" s="479"/>
      <c r="B254" s="479"/>
      <c r="C254" s="479"/>
      <c r="D254" s="479"/>
      <c r="E254" s="479"/>
      <c r="F254" s="479"/>
      <c r="G254" s="479"/>
      <c r="H254" s="479"/>
      <c r="I254" s="479"/>
      <c r="J254" s="479"/>
      <c r="K254" s="479"/>
      <c r="L254" s="479"/>
      <c r="M254" s="479"/>
      <c r="N254" s="479"/>
      <c r="O254" s="479"/>
      <c r="P254" s="479"/>
      <c r="Q254" s="479"/>
      <c r="R254" s="479"/>
      <c r="S254" s="479"/>
    </row>
    <row r="255" spans="1:19" ht="15" hidden="1">
      <c r="A255" s="479"/>
      <c r="B255" s="479"/>
      <c r="C255" s="479"/>
      <c r="D255" s="479"/>
      <c r="E255" s="479"/>
      <c r="F255" s="479"/>
      <c r="G255" s="479"/>
      <c r="H255" s="479"/>
      <c r="I255" s="479"/>
      <c r="J255" s="479"/>
      <c r="K255" s="479"/>
      <c r="L255" s="479"/>
      <c r="M255" s="479"/>
      <c r="N255" s="479"/>
      <c r="O255" s="479"/>
      <c r="P255" s="479"/>
      <c r="Q255" s="479"/>
      <c r="R255" s="479"/>
      <c r="S255" s="479"/>
    </row>
    <row r="256" spans="1:19" ht="15" hidden="1">
      <c r="A256" s="479"/>
      <c r="B256" s="479"/>
      <c r="C256" s="479"/>
      <c r="D256" s="479"/>
      <c r="E256" s="479"/>
      <c r="F256" s="479"/>
      <c r="G256" s="479"/>
      <c r="H256" s="479"/>
      <c r="I256" s="479"/>
      <c r="J256" s="479"/>
      <c r="K256" s="479"/>
      <c r="L256" s="479"/>
      <c r="M256" s="479"/>
      <c r="N256" s="479"/>
      <c r="O256" s="479"/>
      <c r="P256" s="479"/>
      <c r="Q256" s="479"/>
      <c r="R256" s="479"/>
      <c r="S256" s="479"/>
    </row>
    <row r="257" spans="1:19" ht="15" hidden="1">
      <c r="A257" s="479"/>
      <c r="B257" s="479"/>
      <c r="C257" s="479"/>
      <c r="D257" s="479"/>
      <c r="E257" s="479"/>
      <c r="F257" s="479"/>
      <c r="G257" s="479"/>
      <c r="H257" s="479"/>
      <c r="I257" s="479"/>
      <c r="J257" s="479"/>
      <c r="K257" s="479"/>
      <c r="L257" s="479"/>
      <c r="M257" s="479"/>
      <c r="N257" s="479"/>
      <c r="O257" s="479"/>
      <c r="P257" s="479"/>
      <c r="Q257" s="479"/>
      <c r="R257" s="479"/>
      <c r="S257" s="479"/>
    </row>
    <row r="258" spans="1:19" ht="15" hidden="1">
      <c r="A258" s="479"/>
      <c r="B258" s="479"/>
      <c r="C258" s="479"/>
      <c r="D258" s="479"/>
      <c r="E258" s="479"/>
      <c r="F258" s="479"/>
      <c r="G258" s="479"/>
      <c r="H258" s="479"/>
      <c r="I258" s="479"/>
      <c r="J258" s="479"/>
      <c r="K258" s="479"/>
      <c r="L258" s="479"/>
      <c r="M258" s="479"/>
      <c r="N258" s="479"/>
      <c r="O258" s="479"/>
      <c r="P258" s="479"/>
      <c r="Q258" s="479"/>
      <c r="R258" s="479"/>
      <c r="S258" s="479"/>
    </row>
    <row r="259" spans="1:19" ht="15" hidden="1">
      <c r="A259" s="479"/>
      <c r="B259" s="479"/>
      <c r="C259" s="479"/>
      <c r="D259" s="479"/>
      <c r="E259" s="479"/>
      <c r="F259" s="479"/>
      <c r="G259" s="479"/>
      <c r="H259" s="479"/>
      <c r="I259" s="479"/>
      <c r="J259" s="479"/>
      <c r="K259" s="479"/>
      <c r="L259" s="479"/>
      <c r="M259" s="479"/>
      <c r="N259" s="479"/>
      <c r="O259" s="479"/>
      <c r="P259" s="479"/>
      <c r="Q259" s="479"/>
      <c r="R259" s="479"/>
      <c r="S259" s="479"/>
    </row>
    <row r="260" spans="1:19" ht="15" hidden="1">
      <c r="A260" s="479"/>
      <c r="B260" s="479"/>
      <c r="C260" s="479"/>
      <c r="D260" s="479"/>
      <c r="E260" s="479"/>
      <c r="F260" s="479"/>
      <c r="G260" s="479"/>
      <c r="H260" s="479"/>
      <c r="I260" s="479"/>
      <c r="J260" s="479"/>
      <c r="K260" s="479"/>
      <c r="L260" s="479"/>
      <c r="M260" s="479"/>
      <c r="N260" s="479"/>
      <c r="O260" s="479"/>
      <c r="P260" s="479"/>
      <c r="Q260" s="479"/>
      <c r="R260" s="479"/>
      <c r="S260" s="479"/>
    </row>
    <row r="261" spans="1:19" ht="15" hidden="1">
      <c r="A261" s="479"/>
      <c r="B261" s="479"/>
      <c r="C261" s="479"/>
      <c r="D261" s="479"/>
      <c r="E261" s="479"/>
      <c r="F261" s="479"/>
      <c r="G261" s="479"/>
      <c r="H261" s="479"/>
      <c r="I261" s="479"/>
      <c r="J261" s="479"/>
      <c r="K261" s="479"/>
      <c r="L261" s="479"/>
      <c r="M261" s="479"/>
      <c r="N261" s="479"/>
      <c r="O261" s="479"/>
      <c r="P261" s="479"/>
      <c r="Q261" s="479"/>
      <c r="R261" s="479"/>
      <c r="S261" s="479"/>
    </row>
    <row r="262" spans="1:19" ht="15" hidden="1">
      <c r="A262" s="479"/>
      <c r="B262" s="479"/>
      <c r="C262" s="479"/>
      <c r="D262" s="479"/>
      <c r="E262" s="479"/>
      <c r="F262" s="479"/>
      <c r="G262" s="479"/>
      <c r="H262" s="479"/>
      <c r="I262" s="479"/>
      <c r="J262" s="479"/>
      <c r="K262" s="479"/>
      <c r="L262" s="479"/>
      <c r="M262" s="479"/>
      <c r="N262" s="479"/>
      <c r="O262" s="479"/>
      <c r="P262" s="479"/>
      <c r="Q262" s="479"/>
      <c r="R262" s="479"/>
      <c r="S262" s="479"/>
    </row>
    <row r="263" spans="1:19" ht="15" hidden="1">
      <c r="A263" s="479"/>
      <c r="B263" s="479"/>
      <c r="C263" s="479"/>
      <c r="D263" s="479"/>
      <c r="E263" s="479"/>
      <c r="F263" s="479"/>
      <c r="G263" s="479"/>
      <c r="H263" s="479"/>
      <c r="I263" s="479"/>
      <c r="J263" s="479"/>
      <c r="K263" s="479"/>
      <c r="L263" s="479"/>
      <c r="M263" s="479"/>
      <c r="N263" s="479"/>
      <c r="O263" s="479"/>
      <c r="P263" s="479"/>
      <c r="Q263" s="479"/>
      <c r="R263" s="479"/>
      <c r="S263" s="479"/>
    </row>
    <row r="264" spans="1:19" ht="15" hidden="1">
      <c r="A264" s="479"/>
      <c r="B264" s="479"/>
      <c r="C264" s="479"/>
      <c r="D264" s="479"/>
      <c r="E264" s="479"/>
      <c r="F264" s="479"/>
      <c r="G264" s="479"/>
      <c r="H264" s="479"/>
      <c r="I264" s="479"/>
      <c r="J264" s="479"/>
      <c r="K264" s="479"/>
      <c r="L264" s="479"/>
      <c r="M264" s="479"/>
      <c r="N264" s="479"/>
      <c r="O264" s="479"/>
      <c r="P264" s="479"/>
      <c r="Q264" s="479"/>
      <c r="R264" s="479"/>
      <c r="S264" s="479"/>
    </row>
  </sheetData>
  <sheetProtection password="A300" sheet="1" objects="1" scenarios="1" selectLockedCells="1"/>
  <mergeCells count="56">
    <mergeCell ref="A76:S264"/>
    <mergeCell ref="C47:E47"/>
    <mergeCell ref="C53:E53"/>
    <mergeCell ref="C57:E57"/>
    <mergeCell ref="C55:E55"/>
    <mergeCell ref="C58:E58"/>
    <mergeCell ref="A47:A54"/>
    <mergeCell ref="C54:E54"/>
    <mergeCell ref="C49:E49"/>
    <mergeCell ref="C51:E51"/>
    <mergeCell ref="B25:B26"/>
    <mergeCell ref="C25:E26"/>
    <mergeCell ref="B44:B45"/>
    <mergeCell ref="C44:E45"/>
    <mergeCell ref="C36:E36"/>
    <mergeCell ref="C29:E29"/>
    <mergeCell ref="A1:D1"/>
    <mergeCell ref="E1:R1"/>
    <mergeCell ref="F6:J7"/>
    <mergeCell ref="C52:E52"/>
    <mergeCell ref="C34:E34"/>
    <mergeCell ref="C50:E50"/>
    <mergeCell ref="C42:E42"/>
    <mergeCell ref="B46:E46"/>
    <mergeCell ref="C48:E48"/>
    <mergeCell ref="C28:E28"/>
    <mergeCell ref="C32:E32"/>
    <mergeCell ref="C38:E38"/>
    <mergeCell ref="C35:E35"/>
    <mergeCell ref="B8:E8"/>
    <mergeCell ref="B3:N3"/>
    <mergeCell ref="C13:E13"/>
    <mergeCell ref="L6:N7"/>
    <mergeCell ref="C10:E10"/>
    <mergeCell ref="B6:B7"/>
    <mergeCell ref="C6:E7"/>
    <mergeCell ref="F44:J45"/>
    <mergeCell ref="L44:N45"/>
    <mergeCell ref="C17:E17"/>
    <mergeCell ref="C33:E33"/>
    <mergeCell ref="C30:E30"/>
    <mergeCell ref="L25:N26"/>
    <mergeCell ref="C31:E31"/>
    <mergeCell ref="C19:E19"/>
    <mergeCell ref="F25:J26"/>
    <mergeCell ref="C39:E39"/>
    <mergeCell ref="A28:A35"/>
    <mergeCell ref="A9:A16"/>
    <mergeCell ref="C12:E12"/>
    <mergeCell ref="C16:E16"/>
    <mergeCell ref="C14:E14"/>
    <mergeCell ref="C9:E9"/>
    <mergeCell ref="B27:E27"/>
    <mergeCell ref="C20:E20"/>
    <mergeCell ref="C15:E15"/>
    <mergeCell ref="C11:E11"/>
  </mergeCells>
  <dataValidations count="3">
    <dataValidation type="list" allowBlank="1" showInputMessage="1" showErrorMessage="1" promptTitle="Mix Type" prompt="Select the type of the mix." sqref="C55:E55 C17:E17 C36">
      <formula1>Sitemix</formula1>
    </dataValidation>
    <dataValidation type="list" allowBlank="1" showInputMessage="1" showErrorMessage="1" promptTitle="Cement type" prompt="Select the type of cement used in your mix design. " sqref="C48 C29 C10">
      <formula1>ManufacturedCementTypes</formula1>
    </dataValidation>
    <dataValidation type="list" allowBlank="1" showInputMessage="1" showErrorMessage="1" promptTitle="Units" prompt="Select your measuring unit." sqref="G47 G28 G9">
      <formula1>Aggregateunit</formula1>
    </dataValidation>
  </dataValidations>
  <printOptions horizontalCentered="1"/>
  <pageMargins left="0.31496062992125984" right="0.3937007874015748" top="0.35433070866141736" bottom="0.5511811023622047" header="0" footer="0.2755905511811024"/>
  <pageSetup fitToHeight="1" fitToWidth="1" orientation="portrait" paperSize="9" scale="45" r:id="rId5"/>
  <headerFooter alignWithMargins="0">
    <oddFooter>&amp;L&amp;"Calibri,Regular"&amp;8Confidential&amp;R&amp;"Calibri,Regular"&amp;8Designed by   &amp;10&amp;G</oddFooter>
  </headerFooter>
  <rowBreaks count="1" manualBreakCount="1">
    <brk id="59" max="17" man="1"/>
  </rowBreaks>
  <colBreaks count="1" manualBreakCount="1">
    <brk id="10" max="65535" man="1"/>
  </colBreaks>
  <drawing r:id="rId3"/>
  <legacyDrawing r:id="rId2"/>
  <legacyDrawingHF r:id="rId4"/>
</worksheet>
</file>

<file path=xl/worksheets/sheet6.xml><?xml version="1.0" encoding="utf-8"?>
<worksheet xmlns="http://schemas.openxmlformats.org/spreadsheetml/2006/main" xmlns:r="http://schemas.openxmlformats.org/officeDocument/2006/relationships">
  <dimension ref="A1:AT38"/>
  <sheetViews>
    <sheetView showGridLines="0" zoomScale="80" zoomScaleNormal="80" zoomScaleSheetLayoutView="80" zoomScalePageLayoutView="0" workbookViewId="0" topLeftCell="A1">
      <selection activeCell="A1" sqref="A1:E1"/>
    </sheetView>
  </sheetViews>
  <sheetFormatPr defaultColWidth="0" defaultRowHeight="12.75" zeroHeight="1"/>
  <cols>
    <col min="1" max="2" width="9.140625" style="2" customWidth="1"/>
    <col min="3" max="3" width="19.00390625" style="12" customWidth="1"/>
    <col min="4" max="4" width="16.57421875" style="12" bestFit="1" customWidth="1"/>
    <col min="5" max="5" width="9.140625" style="12" customWidth="1"/>
    <col min="6" max="6" width="13.140625" style="12" customWidth="1"/>
    <col min="7" max="7" width="7.57421875" style="12" customWidth="1"/>
    <col min="8" max="9" width="9.140625" style="12" customWidth="1"/>
    <col min="10" max="10" width="0.2890625" style="84" customWidth="1"/>
    <col min="11" max="22" width="9.140625" style="84" hidden="1" customWidth="1"/>
    <col min="23" max="23" width="42.57421875" style="84" hidden="1" customWidth="1"/>
    <col min="24" max="28" width="0" style="2" hidden="1" customWidth="1"/>
    <col min="29" max="16384" width="0" style="12" hidden="1" customWidth="1"/>
  </cols>
  <sheetData>
    <row r="1" spans="1:34" s="18" customFormat="1" ht="36.75" customHeight="1" thickBot="1">
      <c r="A1" s="447"/>
      <c r="B1" s="448"/>
      <c r="C1" s="448"/>
      <c r="D1" s="448"/>
      <c r="E1" s="448"/>
      <c r="F1" s="19"/>
      <c r="G1" s="19"/>
      <c r="H1" s="17"/>
      <c r="I1" s="270" t="s">
        <v>29</v>
      </c>
      <c r="J1" s="83"/>
      <c r="K1" s="83"/>
      <c r="L1" s="83"/>
      <c r="M1" s="83"/>
      <c r="N1" s="83"/>
      <c r="O1" s="83"/>
      <c r="P1" s="83"/>
      <c r="Q1" s="83"/>
      <c r="R1" s="83"/>
      <c r="S1" s="83"/>
      <c r="T1" s="83"/>
      <c r="U1" s="83"/>
      <c r="V1" s="83"/>
      <c r="X1" s="1"/>
      <c r="Y1" s="1"/>
      <c r="Z1" s="1"/>
      <c r="AA1" s="1"/>
      <c r="AB1" s="1"/>
      <c r="AC1" s="1"/>
      <c r="AD1" s="1"/>
      <c r="AE1" s="1"/>
      <c r="AF1" s="1"/>
      <c r="AG1" s="1"/>
      <c r="AH1" s="1"/>
    </row>
    <row r="2" spans="1:23" s="2" customFormat="1" ht="12.75">
      <c r="A2" s="3"/>
      <c r="B2" s="3"/>
      <c r="C2" s="3"/>
      <c r="D2" s="3"/>
      <c r="E2" s="3"/>
      <c r="F2" s="3"/>
      <c r="G2" s="3"/>
      <c r="H2" s="3"/>
      <c r="I2" s="3"/>
      <c r="J2" s="3"/>
      <c r="K2" s="3"/>
      <c r="L2" s="3"/>
      <c r="M2" s="3"/>
      <c r="N2" s="3"/>
      <c r="O2" s="3"/>
      <c r="P2" s="3"/>
      <c r="Q2" s="3"/>
      <c r="R2" s="3"/>
      <c r="S2" s="3"/>
      <c r="T2" s="3"/>
      <c r="U2" s="3"/>
      <c r="V2" s="3"/>
      <c r="W2" s="3"/>
    </row>
    <row r="3" spans="1:23" s="2" customFormat="1" ht="12.75">
      <c r="A3" s="3"/>
      <c r="B3" s="3"/>
      <c r="C3" s="3"/>
      <c r="D3" s="3"/>
      <c r="E3" s="3"/>
      <c r="F3" s="3"/>
      <c r="G3" s="3"/>
      <c r="H3" s="3"/>
      <c r="I3" s="3"/>
      <c r="J3" s="3"/>
      <c r="K3" s="3"/>
      <c r="L3" s="3"/>
      <c r="M3" s="3"/>
      <c r="N3" s="3"/>
      <c r="O3" s="3"/>
      <c r="P3" s="3"/>
      <c r="Q3" s="3"/>
      <c r="R3" s="3"/>
      <c r="S3" s="3"/>
      <c r="T3" s="3"/>
      <c r="U3" s="3"/>
      <c r="V3" s="3"/>
      <c r="W3" s="3"/>
    </row>
    <row r="4" spans="1:23" s="2" customFormat="1" ht="12.75">
      <c r="A4" s="3"/>
      <c r="B4" s="3"/>
      <c r="C4" s="3"/>
      <c r="D4" s="3"/>
      <c r="E4" s="3"/>
      <c r="F4" s="3"/>
      <c r="G4" s="3"/>
      <c r="H4" s="3"/>
      <c r="I4" s="3"/>
      <c r="J4" s="3"/>
      <c r="K4" s="3"/>
      <c r="L4" s="3"/>
      <c r="M4" s="3"/>
      <c r="N4" s="3"/>
      <c r="O4" s="3"/>
      <c r="P4" s="3"/>
      <c r="Q4" s="3"/>
      <c r="R4" s="3"/>
      <c r="S4" s="3"/>
      <c r="T4" s="3"/>
      <c r="U4" s="3"/>
      <c r="V4" s="3"/>
      <c r="W4" s="3"/>
    </row>
    <row r="5" spans="1:23" s="2" customFormat="1" ht="13.5" thickBot="1">
      <c r="A5" s="3"/>
      <c r="B5" s="3"/>
      <c r="C5" s="3"/>
      <c r="D5" s="3"/>
      <c r="E5" s="3"/>
      <c r="F5" s="3"/>
      <c r="G5" s="3"/>
      <c r="H5" s="3"/>
      <c r="I5" s="3"/>
      <c r="J5" s="3"/>
      <c r="K5" s="3"/>
      <c r="L5" s="3"/>
      <c r="M5" s="3"/>
      <c r="N5" s="3"/>
      <c r="O5" s="3"/>
      <c r="P5" s="3"/>
      <c r="Q5" s="3"/>
      <c r="R5" s="3"/>
      <c r="S5" s="3"/>
      <c r="T5" s="3"/>
      <c r="U5" s="3"/>
      <c r="V5" s="3"/>
      <c r="W5" s="3"/>
    </row>
    <row r="6" spans="1:23" ht="15.75" thickBot="1">
      <c r="A6" s="3"/>
      <c r="B6" s="3"/>
      <c r="C6" s="495" t="s">
        <v>104</v>
      </c>
      <c r="D6" s="496"/>
      <c r="E6" s="496"/>
      <c r="F6" s="497"/>
      <c r="G6" s="271"/>
      <c r="H6" s="3"/>
      <c r="I6" s="2"/>
      <c r="W6" s="3"/>
    </row>
    <row r="7" spans="1:23" s="2" customFormat="1" ht="12.75">
      <c r="A7" s="3"/>
      <c r="B7" s="3"/>
      <c r="C7" s="3"/>
      <c r="D7" s="3"/>
      <c r="E7" s="3"/>
      <c r="F7" s="3"/>
      <c r="G7" s="3"/>
      <c r="H7" s="3"/>
      <c r="I7" s="3"/>
      <c r="J7" s="3"/>
      <c r="K7" s="3"/>
      <c r="L7" s="3"/>
      <c r="M7" s="3"/>
      <c r="N7" s="3"/>
      <c r="O7" s="3"/>
      <c r="P7" s="3"/>
      <c r="Q7" s="3"/>
      <c r="R7" s="3"/>
      <c r="S7" s="3"/>
      <c r="T7" s="3"/>
      <c r="U7" s="3"/>
      <c r="V7" s="3"/>
      <c r="W7" s="3"/>
    </row>
    <row r="8" spans="1:23" s="2" customFormat="1" ht="13.5" thickBot="1">
      <c r="A8" s="3"/>
      <c r="B8" s="3"/>
      <c r="C8" s="3"/>
      <c r="D8" s="3"/>
      <c r="E8" s="3"/>
      <c r="F8" s="3"/>
      <c r="G8" s="3"/>
      <c r="H8" s="3"/>
      <c r="I8" s="3"/>
      <c r="J8" s="3"/>
      <c r="K8" s="3"/>
      <c r="L8" s="3"/>
      <c r="M8" s="3"/>
      <c r="N8" s="3"/>
      <c r="O8" s="3"/>
      <c r="P8" s="3"/>
      <c r="Q8" s="3"/>
      <c r="R8" s="3"/>
      <c r="S8" s="3"/>
      <c r="T8" s="3"/>
      <c r="U8" s="3"/>
      <c r="V8" s="3"/>
      <c r="W8" s="3"/>
    </row>
    <row r="9" spans="1:46" s="15" customFormat="1" ht="15.75" thickBot="1">
      <c r="A9" s="3"/>
      <c r="B9" s="3"/>
      <c r="C9" s="13" t="s">
        <v>0</v>
      </c>
      <c r="D9" s="14" t="s">
        <v>6</v>
      </c>
      <c r="E9" s="491" t="s">
        <v>7</v>
      </c>
      <c r="F9" s="492"/>
      <c r="G9" s="272"/>
      <c r="H9" s="3"/>
      <c r="I9" s="3"/>
      <c r="J9" s="3"/>
      <c r="K9" s="3"/>
      <c r="L9" s="3"/>
      <c r="M9" s="3"/>
      <c r="N9" s="3"/>
      <c r="O9" s="3"/>
      <c r="P9" s="3"/>
      <c r="Q9" s="3"/>
      <c r="R9" s="3"/>
      <c r="S9" s="3"/>
      <c r="T9" s="3"/>
      <c r="U9" s="3"/>
      <c r="V9" s="3"/>
      <c r="W9" s="3"/>
      <c r="X9" s="2"/>
      <c r="Y9" s="2"/>
      <c r="Z9" s="2"/>
      <c r="AA9" s="2"/>
      <c r="AB9" s="2"/>
      <c r="AC9" s="12"/>
      <c r="AD9" s="12"/>
      <c r="AE9" s="12"/>
      <c r="AF9" s="12"/>
      <c r="AG9" s="12"/>
      <c r="AH9" s="12"/>
      <c r="AI9" s="12"/>
      <c r="AJ9" s="12"/>
      <c r="AK9" s="12"/>
      <c r="AL9" s="12"/>
      <c r="AM9" s="12"/>
      <c r="AN9" s="12"/>
      <c r="AO9" s="12"/>
      <c r="AP9" s="12"/>
      <c r="AQ9" s="12"/>
      <c r="AR9" s="12"/>
      <c r="AS9" s="12"/>
      <c r="AT9" s="12"/>
    </row>
    <row r="10" spans="1:45" s="16" customFormat="1" ht="15">
      <c r="A10" s="3"/>
      <c r="B10" s="3"/>
      <c r="C10" s="38">
        <v>1</v>
      </c>
      <c r="D10" s="41" t="s">
        <v>4</v>
      </c>
      <c r="E10" s="493" t="s">
        <v>102</v>
      </c>
      <c r="F10" s="494"/>
      <c r="G10" s="272"/>
      <c r="H10" s="3"/>
      <c r="I10" s="3"/>
      <c r="J10" s="3"/>
      <c r="K10" s="3"/>
      <c r="L10" s="3"/>
      <c r="M10" s="3"/>
      <c r="N10" s="3"/>
      <c r="O10" s="3"/>
      <c r="P10" s="3"/>
      <c r="Q10" s="3"/>
      <c r="R10" s="3"/>
      <c r="S10" s="3"/>
      <c r="T10" s="3"/>
      <c r="U10" s="3"/>
      <c r="V10" s="3"/>
      <c r="W10" s="3"/>
      <c r="X10" s="2"/>
      <c r="Y10" s="2"/>
      <c r="Z10" s="2"/>
      <c r="AA10" s="2"/>
      <c r="AB10" s="2"/>
      <c r="AC10" s="12"/>
      <c r="AD10" s="12"/>
      <c r="AE10" s="12"/>
      <c r="AF10" s="12"/>
      <c r="AG10" s="12"/>
      <c r="AH10" s="12"/>
      <c r="AI10" s="12"/>
      <c r="AJ10" s="12"/>
      <c r="AK10" s="12"/>
      <c r="AL10" s="12"/>
      <c r="AM10" s="12"/>
      <c r="AN10" s="12"/>
      <c r="AO10" s="12"/>
      <c r="AP10" s="12"/>
      <c r="AQ10" s="12"/>
      <c r="AR10" s="12"/>
      <c r="AS10" s="12"/>
    </row>
    <row r="11" spans="1:45" s="16" customFormat="1" ht="15">
      <c r="A11" s="3"/>
      <c r="B11" s="3"/>
      <c r="C11" s="39">
        <v>2</v>
      </c>
      <c r="D11" s="42" t="s">
        <v>1</v>
      </c>
      <c r="E11" s="487">
        <f>10+17</f>
        <v>27</v>
      </c>
      <c r="F11" s="488"/>
      <c r="G11" s="272"/>
      <c r="H11" s="3"/>
      <c r="I11" s="3"/>
      <c r="J11" s="3"/>
      <c r="K11" s="3"/>
      <c r="L11" s="3"/>
      <c r="M11" s="3"/>
      <c r="N11" s="3"/>
      <c r="O11" s="3"/>
      <c r="P11" s="3"/>
      <c r="Q11" s="3"/>
      <c r="R11" s="3"/>
      <c r="S11" s="3"/>
      <c r="T11" s="3"/>
      <c r="U11" s="3"/>
      <c r="V11" s="3"/>
      <c r="W11" s="3"/>
      <c r="X11" s="2"/>
      <c r="Y11" s="2"/>
      <c r="Z11" s="2"/>
      <c r="AA11" s="2"/>
      <c r="AB11" s="2"/>
      <c r="AC11" s="12"/>
      <c r="AD11" s="12"/>
      <c r="AE11" s="12"/>
      <c r="AF11" s="12"/>
      <c r="AG11" s="12"/>
      <c r="AH11" s="12"/>
      <c r="AI11" s="12"/>
      <c r="AJ11" s="12"/>
      <c r="AK11" s="12"/>
      <c r="AL11" s="12"/>
      <c r="AM11" s="12"/>
      <c r="AN11" s="12"/>
      <c r="AO11" s="12"/>
      <c r="AP11" s="12"/>
      <c r="AQ11" s="12"/>
      <c r="AR11" s="12"/>
      <c r="AS11" s="12"/>
    </row>
    <row r="12" spans="1:45" s="16" customFormat="1" ht="15">
      <c r="A12" s="3"/>
      <c r="B12" s="3"/>
      <c r="C12" s="39">
        <v>3</v>
      </c>
      <c r="D12" s="43" t="s">
        <v>3</v>
      </c>
      <c r="E12" s="487">
        <v>3</v>
      </c>
      <c r="F12" s="488"/>
      <c r="G12" s="272"/>
      <c r="H12" s="3"/>
      <c r="I12" s="3"/>
      <c r="J12" s="3"/>
      <c r="K12" s="3"/>
      <c r="L12" s="3"/>
      <c r="M12" s="3"/>
      <c r="N12" s="3"/>
      <c r="O12" s="3"/>
      <c r="P12" s="3"/>
      <c r="Q12" s="3"/>
      <c r="R12" s="3"/>
      <c r="S12" s="3"/>
      <c r="T12" s="3"/>
      <c r="U12" s="3"/>
      <c r="V12" s="3"/>
      <c r="W12" s="3"/>
      <c r="X12" s="2"/>
      <c r="Y12" s="2"/>
      <c r="Z12" s="2"/>
      <c r="AA12" s="2"/>
      <c r="AB12" s="2"/>
      <c r="AC12" s="12"/>
      <c r="AD12" s="12"/>
      <c r="AE12" s="12"/>
      <c r="AF12" s="12"/>
      <c r="AG12" s="12"/>
      <c r="AH12" s="12"/>
      <c r="AI12" s="12"/>
      <c r="AJ12" s="12"/>
      <c r="AK12" s="12"/>
      <c r="AL12" s="12"/>
      <c r="AM12" s="12"/>
      <c r="AN12" s="12"/>
      <c r="AO12" s="12"/>
      <c r="AP12" s="12"/>
      <c r="AQ12" s="12"/>
      <c r="AR12" s="12"/>
      <c r="AS12" s="12"/>
    </row>
    <row r="13" spans="1:45" s="16" customFormat="1" ht="15">
      <c r="A13" s="3"/>
      <c r="B13" s="3"/>
      <c r="C13" s="39">
        <v>4</v>
      </c>
      <c r="D13" s="44" t="s">
        <v>2</v>
      </c>
      <c r="E13" s="487">
        <v>3</v>
      </c>
      <c r="F13" s="488"/>
      <c r="G13" s="272"/>
      <c r="H13" s="3"/>
      <c r="I13" s="3"/>
      <c r="J13" s="3"/>
      <c r="K13" s="3"/>
      <c r="L13" s="3"/>
      <c r="M13" s="3"/>
      <c r="N13" s="3"/>
      <c r="O13" s="3"/>
      <c r="P13" s="3"/>
      <c r="Q13" s="3"/>
      <c r="R13" s="3"/>
      <c r="S13" s="3"/>
      <c r="T13" s="3"/>
      <c r="U13" s="3"/>
      <c r="V13" s="3"/>
      <c r="W13" s="3"/>
      <c r="X13" s="2"/>
      <c r="Y13" s="2"/>
      <c r="Z13" s="2"/>
      <c r="AA13" s="2"/>
      <c r="AB13" s="2"/>
      <c r="AC13" s="12"/>
      <c r="AD13" s="12"/>
      <c r="AE13" s="12"/>
      <c r="AF13" s="12"/>
      <c r="AG13" s="12"/>
      <c r="AH13" s="12"/>
      <c r="AI13" s="12"/>
      <c r="AJ13" s="12"/>
      <c r="AK13" s="12"/>
      <c r="AL13" s="12"/>
      <c r="AM13" s="12"/>
      <c r="AN13" s="12"/>
      <c r="AO13" s="12"/>
      <c r="AP13" s="12"/>
      <c r="AQ13" s="12"/>
      <c r="AR13" s="12"/>
      <c r="AS13" s="12"/>
    </row>
    <row r="14" spans="1:45" s="16" customFormat="1" ht="15">
      <c r="A14" s="3"/>
      <c r="B14" s="3"/>
      <c r="C14" s="39">
        <v>5</v>
      </c>
      <c r="D14" s="44" t="s">
        <v>105</v>
      </c>
      <c r="E14" s="487">
        <v>3</v>
      </c>
      <c r="F14" s="488"/>
      <c r="G14" s="272"/>
      <c r="H14" s="3"/>
      <c r="I14" s="3"/>
      <c r="J14" s="3"/>
      <c r="K14" s="3"/>
      <c r="L14" s="3"/>
      <c r="M14" s="3"/>
      <c r="N14" s="3"/>
      <c r="O14" s="3"/>
      <c r="P14" s="3"/>
      <c r="Q14" s="3"/>
      <c r="R14" s="3"/>
      <c r="S14" s="3"/>
      <c r="T14" s="3"/>
      <c r="U14" s="3"/>
      <c r="V14" s="3"/>
      <c r="W14" s="3"/>
      <c r="X14" s="2"/>
      <c r="Y14" s="2"/>
      <c r="Z14" s="2"/>
      <c r="AA14" s="2"/>
      <c r="AB14" s="2"/>
      <c r="AC14" s="12"/>
      <c r="AD14" s="12"/>
      <c r="AE14" s="12"/>
      <c r="AF14" s="12"/>
      <c r="AG14" s="12"/>
      <c r="AH14" s="12"/>
      <c r="AI14" s="12"/>
      <c r="AJ14" s="12"/>
      <c r="AK14" s="12"/>
      <c r="AL14" s="12"/>
      <c r="AM14" s="12"/>
      <c r="AN14" s="12"/>
      <c r="AO14" s="12"/>
      <c r="AP14" s="12"/>
      <c r="AQ14" s="12"/>
      <c r="AR14" s="12"/>
      <c r="AS14" s="12"/>
    </row>
    <row r="15" spans="1:45" s="16" customFormat="1" ht="15">
      <c r="A15" s="3"/>
      <c r="B15" s="3"/>
      <c r="C15" s="39">
        <v>6</v>
      </c>
      <c r="D15" s="44" t="s">
        <v>9</v>
      </c>
      <c r="E15" s="489" t="s">
        <v>25</v>
      </c>
      <c r="F15" s="490"/>
      <c r="G15" s="272"/>
      <c r="H15" s="3"/>
      <c r="I15" s="3"/>
      <c r="J15" s="3"/>
      <c r="K15" s="3"/>
      <c r="L15" s="3"/>
      <c r="M15" s="3"/>
      <c r="N15" s="3"/>
      <c r="O15" s="3"/>
      <c r="P15" s="3"/>
      <c r="Q15" s="3"/>
      <c r="R15" s="3"/>
      <c r="S15" s="3"/>
      <c r="T15" s="3"/>
      <c r="U15" s="3"/>
      <c r="V15" s="3"/>
      <c r="W15" s="3"/>
      <c r="X15" s="2"/>
      <c r="Y15" s="2"/>
      <c r="Z15" s="2"/>
      <c r="AA15" s="2"/>
      <c r="AB15" s="2"/>
      <c r="AC15" s="12"/>
      <c r="AD15" s="12"/>
      <c r="AE15" s="12"/>
      <c r="AF15" s="12"/>
      <c r="AG15" s="12"/>
      <c r="AH15" s="12"/>
      <c r="AI15" s="12"/>
      <c r="AJ15" s="12"/>
      <c r="AK15" s="12"/>
      <c r="AL15" s="12"/>
      <c r="AM15" s="12"/>
      <c r="AN15" s="12"/>
      <c r="AO15" s="12"/>
      <c r="AP15" s="12"/>
      <c r="AQ15" s="12"/>
      <c r="AR15" s="12"/>
      <c r="AS15" s="12"/>
    </row>
    <row r="16" spans="1:45" s="16" customFormat="1" ht="15">
      <c r="A16" s="3"/>
      <c r="B16" s="3"/>
      <c r="C16" s="39">
        <v>7</v>
      </c>
      <c r="D16" s="44" t="s">
        <v>5</v>
      </c>
      <c r="E16" s="480">
        <v>1</v>
      </c>
      <c r="F16" s="481"/>
      <c r="G16" s="272"/>
      <c r="H16" s="3"/>
      <c r="I16" s="3"/>
      <c r="J16" s="3"/>
      <c r="K16" s="3"/>
      <c r="L16" s="3"/>
      <c r="M16" s="3"/>
      <c r="N16" s="3"/>
      <c r="O16" s="3"/>
      <c r="P16" s="3"/>
      <c r="Q16" s="3"/>
      <c r="R16" s="3"/>
      <c r="S16" s="3"/>
      <c r="T16" s="3"/>
      <c r="U16" s="3"/>
      <c r="V16" s="3"/>
      <c r="W16" s="3"/>
      <c r="X16" s="2"/>
      <c r="Y16" s="2"/>
      <c r="Z16" s="2"/>
      <c r="AA16" s="2"/>
      <c r="AB16" s="2"/>
      <c r="AC16" s="12"/>
      <c r="AD16" s="12"/>
      <c r="AE16" s="12"/>
      <c r="AF16" s="12"/>
      <c r="AG16" s="12"/>
      <c r="AH16" s="12"/>
      <c r="AI16" s="12"/>
      <c r="AJ16" s="12"/>
      <c r="AK16" s="12"/>
      <c r="AL16" s="12"/>
      <c r="AM16" s="12"/>
      <c r="AN16" s="12"/>
      <c r="AO16" s="12"/>
      <c r="AP16" s="12"/>
      <c r="AQ16" s="12"/>
      <c r="AR16" s="12"/>
      <c r="AS16" s="12"/>
    </row>
    <row r="17" spans="1:45" s="16" customFormat="1" ht="15">
      <c r="A17" s="3"/>
      <c r="B17" s="3"/>
      <c r="C17" s="39">
        <v>8</v>
      </c>
      <c r="D17" s="44" t="s">
        <v>55</v>
      </c>
      <c r="E17" s="487">
        <v>13</v>
      </c>
      <c r="F17" s="488"/>
      <c r="G17" s="272"/>
      <c r="H17" s="3"/>
      <c r="I17" s="3"/>
      <c r="J17" s="3"/>
      <c r="K17" s="3"/>
      <c r="L17" s="3"/>
      <c r="M17" s="3"/>
      <c r="N17" s="3"/>
      <c r="O17" s="3"/>
      <c r="P17" s="3"/>
      <c r="Q17" s="3"/>
      <c r="R17" s="3"/>
      <c r="S17" s="3"/>
      <c r="T17" s="3"/>
      <c r="U17" s="3"/>
      <c r="V17" s="3"/>
      <c r="W17" s="3"/>
      <c r="X17" s="2"/>
      <c r="Y17" s="2"/>
      <c r="Z17" s="2"/>
      <c r="AA17" s="2"/>
      <c r="AB17" s="2"/>
      <c r="AC17" s="12"/>
      <c r="AD17" s="12"/>
      <c r="AE17" s="12"/>
      <c r="AF17" s="12"/>
      <c r="AG17" s="12"/>
      <c r="AH17" s="12"/>
      <c r="AI17" s="12"/>
      <c r="AJ17" s="12"/>
      <c r="AK17" s="12"/>
      <c r="AL17" s="12"/>
      <c r="AM17" s="12"/>
      <c r="AN17" s="12"/>
      <c r="AO17" s="12"/>
      <c r="AP17" s="12"/>
      <c r="AQ17" s="12"/>
      <c r="AR17" s="12"/>
      <c r="AS17" s="12"/>
    </row>
    <row r="18" spans="1:45" s="16" customFormat="1" ht="15">
      <c r="A18" s="3"/>
      <c r="B18" s="3"/>
      <c r="C18" s="39">
        <v>9</v>
      </c>
      <c r="D18" s="44" t="s">
        <v>53</v>
      </c>
      <c r="E18" s="480" t="s">
        <v>103</v>
      </c>
      <c r="F18" s="481"/>
      <c r="G18" s="272"/>
      <c r="H18" s="3"/>
      <c r="I18" s="3"/>
      <c r="J18" s="3"/>
      <c r="K18" s="3"/>
      <c r="L18" s="3"/>
      <c r="M18" s="3"/>
      <c r="N18" s="3"/>
      <c r="O18" s="3"/>
      <c r="P18" s="3"/>
      <c r="Q18" s="3"/>
      <c r="R18" s="3"/>
      <c r="S18" s="3"/>
      <c r="T18" s="3"/>
      <c r="U18" s="3"/>
      <c r="V18" s="3"/>
      <c r="W18" s="3"/>
      <c r="X18" s="2"/>
      <c r="Y18" s="2"/>
      <c r="Z18" s="2"/>
      <c r="AA18" s="2"/>
      <c r="AB18" s="2"/>
      <c r="AC18" s="12"/>
      <c r="AD18" s="12"/>
      <c r="AE18" s="12"/>
      <c r="AF18" s="12"/>
      <c r="AG18" s="12"/>
      <c r="AH18" s="12"/>
      <c r="AI18" s="12"/>
      <c r="AJ18" s="12"/>
      <c r="AK18" s="12"/>
      <c r="AL18" s="12"/>
      <c r="AM18" s="12"/>
      <c r="AN18" s="12"/>
      <c r="AO18" s="12"/>
      <c r="AP18" s="12"/>
      <c r="AQ18" s="12"/>
      <c r="AR18" s="12"/>
      <c r="AS18" s="12"/>
    </row>
    <row r="19" spans="1:45" s="16" customFormat="1" ht="15.75" thickBot="1">
      <c r="A19" s="3"/>
      <c r="B19" s="3"/>
      <c r="C19" s="40">
        <v>10</v>
      </c>
      <c r="D19" s="45" t="s">
        <v>26</v>
      </c>
      <c r="E19" s="485">
        <f>28+40</f>
        <v>68</v>
      </c>
      <c r="F19" s="486"/>
      <c r="G19" s="272"/>
      <c r="H19" s="3"/>
      <c r="I19" s="3"/>
      <c r="J19" s="3"/>
      <c r="K19" s="3"/>
      <c r="L19" s="3"/>
      <c r="M19" s="3"/>
      <c r="N19" s="3"/>
      <c r="O19" s="3"/>
      <c r="P19" s="3"/>
      <c r="Q19" s="3"/>
      <c r="R19" s="3"/>
      <c r="S19" s="3"/>
      <c r="T19" s="3"/>
      <c r="U19" s="3"/>
      <c r="V19" s="3"/>
      <c r="W19" s="3"/>
      <c r="X19" s="2"/>
      <c r="Y19" s="2"/>
      <c r="Z19" s="2"/>
      <c r="AA19" s="2"/>
      <c r="AB19" s="2"/>
      <c r="AC19" s="12"/>
      <c r="AD19" s="12"/>
      <c r="AE19" s="12"/>
      <c r="AF19" s="12"/>
      <c r="AG19" s="12"/>
      <c r="AH19" s="12"/>
      <c r="AI19" s="12"/>
      <c r="AJ19" s="12"/>
      <c r="AK19" s="12"/>
      <c r="AL19" s="12"/>
      <c r="AM19" s="12"/>
      <c r="AN19" s="12"/>
      <c r="AO19" s="12"/>
      <c r="AP19" s="12"/>
      <c r="AQ19" s="12"/>
      <c r="AR19" s="12"/>
      <c r="AS19" s="12"/>
    </row>
    <row r="20" spans="1:45" s="16" customFormat="1" ht="15.75" thickBot="1">
      <c r="A20" s="3"/>
      <c r="B20" s="3"/>
      <c r="C20" s="482" t="s">
        <v>21</v>
      </c>
      <c r="D20" s="483"/>
      <c r="E20" s="482">
        <v>130</v>
      </c>
      <c r="F20" s="484"/>
      <c r="G20" s="272"/>
      <c r="H20" s="3"/>
      <c r="I20" s="3"/>
      <c r="J20" s="3"/>
      <c r="K20" s="3"/>
      <c r="L20" s="3"/>
      <c r="M20" s="3"/>
      <c r="N20" s="3"/>
      <c r="O20" s="3"/>
      <c r="P20" s="3"/>
      <c r="Q20" s="3"/>
      <c r="R20" s="3"/>
      <c r="S20" s="3"/>
      <c r="T20" s="3"/>
      <c r="U20" s="3"/>
      <c r="V20" s="3"/>
      <c r="W20" s="3"/>
      <c r="X20" s="2"/>
      <c r="Y20" s="2"/>
      <c r="Z20" s="2"/>
      <c r="AA20" s="2"/>
      <c r="AB20" s="2"/>
      <c r="AC20" s="12"/>
      <c r="AD20" s="12"/>
      <c r="AE20" s="12"/>
      <c r="AF20" s="12"/>
      <c r="AG20" s="12"/>
      <c r="AH20" s="12"/>
      <c r="AI20" s="12"/>
      <c r="AJ20" s="12"/>
      <c r="AK20" s="12"/>
      <c r="AL20" s="12"/>
      <c r="AM20" s="12"/>
      <c r="AN20" s="12"/>
      <c r="AO20" s="12"/>
      <c r="AP20" s="12"/>
      <c r="AQ20" s="12"/>
      <c r="AR20" s="12"/>
      <c r="AS20" s="12"/>
    </row>
    <row r="21" spans="1:23" ht="12.75">
      <c r="A21" s="3"/>
      <c r="B21" s="3"/>
      <c r="C21" s="3" t="s">
        <v>28</v>
      </c>
      <c r="D21" s="3"/>
      <c r="E21" s="3"/>
      <c r="F21" s="3"/>
      <c r="G21" s="3"/>
      <c r="H21" s="3"/>
      <c r="I21" s="3"/>
      <c r="J21" s="3"/>
      <c r="K21" s="3"/>
      <c r="L21" s="3"/>
      <c r="M21" s="3"/>
      <c r="N21" s="3"/>
      <c r="O21" s="3"/>
      <c r="P21" s="3"/>
      <c r="Q21" s="3"/>
      <c r="R21" s="3"/>
      <c r="S21" s="3"/>
      <c r="T21" s="3"/>
      <c r="U21" s="3"/>
      <c r="V21" s="3"/>
      <c r="W21" s="3"/>
    </row>
    <row r="22" spans="1:23" ht="12.75">
      <c r="A22" s="3"/>
      <c r="B22" s="3"/>
      <c r="C22" s="3" t="s">
        <v>45</v>
      </c>
      <c r="D22" s="3"/>
      <c r="E22" s="3"/>
      <c r="F22" s="3"/>
      <c r="G22" s="3"/>
      <c r="H22" s="3"/>
      <c r="I22" s="3"/>
      <c r="J22" s="3"/>
      <c r="K22" s="3"/>
      <c r="L22" s="3"/>
      <c r="M22" s="3"/>
      <c r="N22" s="3"/>
      <c r="O22" s="3"/>
      <c r="P22" s="3"/>
      <c r="Q22" s="3"/>
      <c r="R22" s="3"/>
      <c r="S22" s="3"/>
      <c r="T22" s="3"/>
      <c r="U22" s="3"/>
      <c r="V22" s="3"/>
      <c r="W22" s="3"/>
    </row>
    <row r="23" spans="3:23" ht="12.75" hidden="1">
      <c r="C23" s="2"/>
      <c r="D23" s="2"/>
      <c r="E23" s="2"/>
      <c r="F23" s="2"/>
      <c r="G23" s="2"/>
      <c r="H23" s="2"/>
      <c r="I23" s="2"/>
      <c r="J23" s="3"/>
      <c r="K23" s="3"/>
      <c r="L23" s="3"/>
      <c r="M23" s="3"/>
      <c r="N23" s="3"/>
      <c r="O23" s="3"/>
      <c r="P23" s="3"/>
      <c r="Q23" s="3"/>
      <c r="R23" s="3"/>
      <c r="S23" s="3"/>
      <c r="T23" s="3"/>
      <c r="U23" s="3"/>
      <c r="V23" s="3"/>
      <c r="W23" s="3"/>
    </row>
    <row r="24" spans="3:23" ht="12.75" hidden="1">
      <c r="C24" s="2"/>
      <c r="D24" s="2"/>
      <c r="E24" s="2"/>
      <c r="F24" s="2"/>
      <c r="G24" s="2"/>
      <c r="H24" s="2"/>
      <c r="I24" s="2"/>
      <c r="J24" s="3"/>
      <c r="K24" s="3"/>
      <c r="L24" s="3"/>
      <c r="M24" s="3"/>
      <c r="N24" s="3"/>
      <c r="O24" s="3"/>
      <c r="P24" s="3"/>
      <c r="Q24" s="3"/>
      <c r="R24" s="3"/>
      <c r="S24" s="3"/>
      <c r="T24" s="3"/>
      <c r="U24" s="3"/>
      <c r="V24" s="3"/>
      <c r="W24" s="3"/>
    </row>
    <row r="25" spans="3:23" ht="12.75" hidden="1">
      <c r="C25" s="2"/>
      <c r="D25" s="2"/>
      <c r="E25" s="2"/>
      <c r="F25" s="2"/>
      <c r="G25" s="2"/>
      <c r="H25" s="2"/>
      <c r="I25" s="2"/>
      <c r="J25" s="3"/>
      <c r="K25" s="3"/>
      <c r="L25" s="3"/>
      <c r="M25" s="3"/>
      <c r="N25" s="3"/>
      <c r="O25" s="3"/>
      <c r="P25" s="3"/>
      <c r="Q25" s="3"/>
      <c r="R25" s="3"/>
      <c r="S25" s="3"/>
      <c r="T25" s="3"/>
      <c r="U25" s="3"/>
      <c r="V25" s="3"/>
      <c r="W25" s="3"/>
    </row>
    <row r="26" spans="3:23" ht="12.75" hidden="1">
      <c r="C26" s="2"/>
      <c r="D26" s="2"/>
      <c r="E26" s="2"/>
      <c r="F26" s="2"/>
      <c r="G26" s="2"/>
      <c r="H26" s="2"/>
      <c r="I26" s="2"/>
      <c r="J26" s="3"/>
      <c r="K26" s="3"/>
      <c r="L26" s="3"/>
      <c r="M26" s="3"/>
      <c r="N26" s="3"/>
      <c r="O26" s="3"/>
      <c r="P26" s="3"/>
      <c r="Q26" s="3"/>
      <c r="R26" s="3"/>
      <c r="S26" s="3"/>
      <c r="T26" s="3"/>
      <c r="U26" s="3"/>
      <c r="V26" s="3"/>
      <c r="W26" s="3"/>
    </row>
    <row r="27" spans="3:23" ht="12.75" hidden="1">
      <c r="C27" s="2"/>
      <c r="D27" s="2"/>
      <c r="E27" s="2"/>
      <c r="F27" s="2"/>
      <c r="G27" s="2"/>
      <c r="H27" s="2"/>
      <c r="I27" s="2"/>
      <c r="J27" s="3"/>
      <c r="K27" s="3"/>
      <c r="L27" s="3"/>
      <c r="M27" s="3"/>
      <c r="N27" s="3"/>
      <c r="O27" s="3"/>
      <c r="P27" s="3"/>
      <c r="Q27" s="3"/>
      <c r="R27" s="3"/>
      <c r="S27" s="3"/>
      <c r="T27" s="3"/>
      <c r="U27" s="3"/>
      <c r="V27" s="3"/>
      <c r="W27" s="3"/>
    </row>
    <row r="28" spans="3:23" ht="12.75" hidden="1">
      <c r="C28" s="2"/>
      <c r="D28" s="2"/>
      <c r="E28" s="2"/>
      <c r="F28" s="2"/>
      <c r="G28" s="2"/>
      <c r="H28" s="2"/>
      <c r="I28" s="2"/>
      <c r="J28" s="3"/>
      <c r="K28" s="3"/>
      <c r="L28" s="3"/>
      <c r="M28" s="3"/>
      <c r="N28" s="3"/>
      <c r="O28" s="3"/>
      <c r="P28" s="3"/>
      <c r="Q28" s="3"/>
      <c r="R28" s="3"/>
      <c r="S28" s="3"/>
      <c r="T28" s="3"/>
      <c r="U28" s="3"/>
      <c r="V28" s="3"/>
      <c r="W28" s="3"/>
    </row>
    <row r="29" spans="3:23" ht="12.75" hidden="1">
      <c r="C29" s="2"/>
      <c r="D29" s="2"/>
      <c r="E29" s="2"/>
      <c r="F29" s="2"/>
      <c r="G29" s="2"/>
      <c r="H29" s="2"/>
      <c r="I29" s="2"/>
      <c r="J29" s="3"/>
      <c r="K29" s="3"/>
      <c r="L29" s="3"/>
      <c r="M29" s="3"/>
      <c r="N29" s="3"/>
      <c r="O29" s="3"/>
      <c r="P29" s="3"/>
      <c r="Q29" s="3"/>
      <c r="R29" s="3"/>
      <c r="S29" s="3"/>
      <c r="T29" s="3"/>
      <c r="U29" s="3"/>
      <c r="V29" s="3"/>
      <c r="W29" s="3"/>
    </row>
    <row r="30" spans="3:23" ht="12.75" hidden="1">
      <c r="C30" s="2"/>
      <c r="D30" s="2"/>
      <c r="E30" s="2"/>
      <c r="F30" s="2"/>
      <c r="G30" s="2"/>
      <c r="H30" s="2"/>
      <c r="I30" s="2"/>
      <c r="J30" s="3"/>
      <c r="K30" s="3"/>
      <c r="L30" s="3"/>
      <c r="M30" s="3"/>
      <c r="N30" s="3"/>
      <c r="O30" s="3"/>
      <c r="P30" s="3"/>
      <c r="Q30" s="3"/>
      <c r="R30" s="3"/>
      <c r="S30" s="3"/>
      <c r="T30" s="3"/>
      <c r="U30" s="3"/>
      <c r="V30" s="3"/>
      <c r="W30" s="3"/>
    </row>
    <row r="31" spans="3:23" ht="12.75" hidden="1">
      <c r="C31" s="2"/>
      <c r="D31" s="2"/>
      <c r="E31" s="2"/>
      <c r="F31" s="2"/>
      <c r="G31" s="2"/>
      <c r="H31" s="2"/>
      <c r="I31" s="2"/>
      <c r="J31" s="3"/>
      <c r="K31" s="3"/>
      <c r="L31" s="3"/>
      <c r="M31" s="3"/>
      <c r="N31" s="3"/>
      <c r="O31" s="3"/>
      <c r="P31" s="3"/>
      <c r="Q31" s="3"/>
      <c r="R31" s="3"/>
      <c r="S31" s="3"/>
      <c r="T31" s="3"/>
      <c r="U31" s="3"/>
      <c r="V31" s="3"/>
      <c r="W31" s="3"/>
    </row>
    <row r="32" spans="3:23" ht="12.75" hidden="1">
      <c r="C32" s="2"/>
      <c r="D32" s="2"/>
      <c r="E32" s="2"/>
      <c r="F32" s="2"/>
      <c r="G32" s="2"/>
      <c r="H32" s="2"/>
      <c r="I32" s="2"/>
      <c r="J32" s="3"/>
      <c r="K32" s="3"/>
      <c r="L32" s="3"/>
      <c r="M32" s="3"/>
      <c r="N32" s="3"/>
      <c r="O32" s="3"/>
      <c r="P32" s="3"/>
      <c r="Q32" s="3"/>
      <c r="R32" s="3"/>
      <c r="S32" s="3"/>
      <c r="T32" s="3"/>
      <c r="U32" s="3"/>
      <c r="V32" s="3"/>
      <c r="W32" s="3"/>
    </row>
    <row r="33" spans="3:23" ht="12.75" hidden="1">
      <c r="C33" s="2"/>
      <c r="D33" s="2"/>
      <c r="E33" s="2"/>
      <c r="F33" s="2"/>
      <c r="G33" s="2"/>
      <c r="H33" s="2"/>
      <c r="I33" s="2"/>
      <c r="J33" s="3"/>
      <c r="K33" s="3"/>
      <c r="L33" s="3"/>
      <c r="M33" s="3"/>
      <c r="N33" s="3"/>
      <c r="O33" s="3"/>
      <c r="P33" s="3"/>
      <c r="Q33" s="3"/>
      <c r="R33" s="3"/>
      <c r="S33" s="3"/>
      <c r="T33" s="3"/>
      <c r="U33" s="3"/>
      <c r="V33" s="3"/>
      <c r="W33" s="3"/>
    </row>
    <row r="34" spans="3:23" ht="12.75" hidden="1">
      <c r="C34" s="2"/>
      <c r="D34" s="2"/>
      <c r="E34" s="2"/>
      <c r="F34" s="2"/>
      <c r="G34" s="2"/>
      <c r="H34" s="2"/>
      <c r="I34" s="2"/>
      <c r="J34" s="3"/>
      <c r="K34" s="3"/>
      <c r="L34" s="3"/>
      <c r="M34" s="3"/>
      <c r="N34" s="3"/>
      <c r="O34" s="3"/>
      <c r="P34" s="3"/>
      <c r="Q34" s="3"/>
      <c r="R34" s="3"/>
      <c r="S34" s="3"/>
      <c r="T34" s="3"/>
      <c r="U34" s="3"/>
      <c r="V34" s="3"/>
      <c r="W34" s="3"/>
    </row>
    <row r="35" spans="8:23" ht="12.75" hidden="1">
      <c r="H35" s="2"/>
      <c r="I35" s="2"/>
      <c r="J35" s="3"/>
      <c r="K35" s="3"/>
      <c r="L35" s="3"/>
      <c r="M35" s="3"/>
      <c r="N35" s="3"/>
      <c r="O35" s="3"/>
      <c r="P35" s="3"/>
      <c r="Q35" s="3"/>
      <c r="R35" s="3"/>
      <c r="S35" s="3"/>
      <c r="T35" s="3"/>
      <c r="U35" s="3"/>
      <c r="V35" s="3"/>
      <c r="W35" s="3"/>
    </row>
    <row r="36" spans="8:23" ht="12.75" hidden="1">
      <c r="H36" s="2"/>
      <c r="I36" s="2"/>
      <c r="J36" s="3"/>
      <c r="K36" s="3"/>
      <c r="L36" s="3"/>
      <c r="M36" s="3"/>
      <c r="N36" s="3"/>
      <c r="O36" s="3"/>
      <c r="P36" s="3"/>
      <c r="Q36" s="3"/>
      <c r="R36" s="3"/>
      <c r="S36" s="3"/>
      <c r="T36" s="3"/>
      <c r="U36" s="3"/>
      <c r="V36" s="3"/>
      <c r="W36" s="3"/>
    </row>
    <row r="37" spans="8:23" ht="12.75" hidden="1">
      <c r="H37" s="2"/>
      <c r="I37" s="2"/>
      <c r="J37" s="3"/>
      <c r="K37" s="3"/>
      <c r="L37" s="3"/>
      <c r="M37" s="3"/>
      <c r="N37" s="3"/>
      <c r="O37" s="3"/>
      <c r="P37" s="3"/>
      <c r="Q37" s="3"/>
      <c r="R37" s="3"/>
      <c r="S37" s="3"/>
      <c r="T37" s="3"/>
      <c r="U37" s="3"/>
      <c r="V37" s="3"/>
      <c r="W37" s="3"/>
    </row>
    <row r="38" spans="8:23" ht="12.75" hidden="1">
      <c r="H38" s="2"/>
      <c r="I38" s="2"/>
      <c r="J38" s="3"/>
      <c r="K38" s="3"/>
      <c r="L38" s="3"/>
      <c r="M38" s="3"/>
      <c r="N38" s="3"/>
      <c r="O38" s="3"/>
      <c r="P38" s="3"/>
      <c r="Q38" s="3"/>
      <c r="R38" s="3"/>
      <c r="S38" s="3"/>
      <c r="T38" s="3"/>
      <c r="U38" s="3"/>
      <c r="V38" s="3"/>
      <c r="W38" s="3"/>
    </row>
  </sheetData>
  <sheetProtection password="A300" sheet="1" objects="1" scenarios="1" selectLockedCells="1" selectUnlockedCells="1"/>
  <mergeCells count="15">
    <mergeCell ref="A1:E1"/>
    <mergeCell ref="E13:F13"/>
    <mergeCell ref="E14:F14"/>
    <mergeCell ref="E15:F15"/>
    <mergeCell ref="E9:F9"/>
    <mergeCell ref="E10:F10"/>
    <mergeCell ref="E11:F11"/>
    <mergeCell ref="E12:F12"/>
    <mergeCell ref="C6:F6"/>
    <mergeCell ref="E16:F16"/>
    <mergeCell ref="C20:D20"/>
    <mergeCell ref="E20:F20"/>
    <mergeCell ref="E19:F19"/>
    <mergeCell ref="E17:F17"/>
    <mergeCell ref="E18:F18"/>
  </mergeCells>
  <printOptions/>
  <pageMargins left="0.7480314960629921" right="0.7480314960629921" top="0.71" bottom="0.984251968503937" header="0.5118110236220472" footer="0.5118110236220472"/>
  <pageSetup orientation="portrait" scale="88" r:id="rId3"/>
  <headerFooter alignWithMargins="0">
    <oddFooter>&amp;L&amp;"Calibri,Regular"&amp;8Confidential&amp;C&amp;"Calibri,Regular"            &amp;R&amp;"Calibri,Regular"&amp;8           Designed by   &amp;10&amp;G</oddFooter>
  </headerFooter>
  <drawing r:id="rId1"/>
  <legacyDrawingHF r:id="rId2"/>
</worksheet>
</file>

<file path=xl/worksheets/sheet7.xml><?xml version="1.0" encoding="utf-8"?>
<worksheet xmlns="http://schemas.openxmlformats.org/spreadsheetml/2006/main" xmlns:r="http://schemas.openxmlformats.org/officeDocument/2006/relationships">
  <sheetPr>
    <pageSetUpPr fitToPage="1"/>
  </sheetPr>
  <dimension ref="A1:IV100"/>
  <sheetViews>
    <sheetView showGridLines="0" zoomScale="80" zoomScaleNormal="80" zoomScaleSheetLayoutView="85" zoomScalePageLayoutView="0" workbookViewId="0" topLeftCell="A1">
      <selection activeCell="A1" sqref="A1:B1"/>
    </sheetView>
  </sheetViews>
  <sheetFormatPr defaultColWidth="0" defaultRowHeight="12.75" zeroHeight="1"/>
  <cols>
    <col min="1" max="1" width="18.28125" style="192" customWidth="1"/>
    <col min="2" max="3" width="9.140625" style="192" customWidth="1"/>
    <col min="4" max="4" width="10.28125" style="193" customWidth="1"/>
    <col min="5" max="5" width="10.421875" style="192" customWidth="1"/>
    <col min="6" max="6" width="9.140625" style="188" customWidth="1"/>
    <col min="7" max="10" width="9.140625" style="191" customWidth="1"/>
    <col min="11" max="11" width="0.42578125" style="162" customWidth="1"/>
    <col min="12" max="12" width="9.140625" style="162" hidden="1" customWidth="1"/>
    <col min="13" max="13" width="8.57421875" style="162" hidden="1" customWidth="1"/>
    <col min="14" max="44" width="9.140625" style="159" hidden="1" customWidth="1"/>
    <col min="45" max="49" width="9.140625" style="162" hidden="1" customWidth="1"/>
    <col min="50" max="16384" width="0" style="162" hidden="1" customWidth="1"/>
  </cols>
  <sheetData>
    <row r="1" spans="1:18" s="158" customFormat="1" ht="36.75" customHeight="1" thickBot="1">
      <c r="A1" s="504"/>
      <c r="B1" s="505"/>
      <c r="C1" s="155"/>
      <c r="D1" s="343"/>
      <c r="E1" s="17"/>
      <c r="F1" s="17"/>
      <c r="G1" s="17"/>
      <c r="H1" s="17"/>
      <c r="I1" s="17"/>
      <c r="J1" s="344" t="s">
        <v>132</v>
      </c>
      <c r="K1" s="156"/>
      <c r="L1" s="156"/>
      <c r="M1" s="157"/>
      <c r="N1" s="157"/>
      <c r="O1" s="157"/>
      <c r="P1" s="157"/>
      <c r="Q1" s="157"/>
      <c r="R1" s="157"/>
    </row>
    <row r="2" spans="1:13" ht="13.5" thickBot="1">
      <c r="A2" s="159"/>
      <c r="B2" s="159"/>
      <c r="C2" s="159"/>
      <c r="D2" s="160"/>
      <c r="E2" s="159"/>
      <c r="F2" s="159"/>
      <c r="G2" s="161"/>
      <c r="H2" s="161"/>
      <c r="I2" s="161"/>
      <c r="J2" s="161"/>
      <c r="K2" s="159"/>
      <c r="L2" s="159"/>
      <c r="M2" s="159"/>
    </row>
    <row r="3" spans="1:22" s="165" customFormat="1" ht="15.75" thickBot="1">
      <c r="A3" s="501" t="s">
        <v>138</v>
      </c>
      <c r="B3" s="502"/>
      <c r="C3" s="502"/>
      <c r="D3" s="502"/>
      <c r="E3" s="502"/>
      <c r="F3" s="502"/>
      <c r="G3" s="502"/>
      <c r="H3" s="502"/>
      <c r="I3" s="502"/>
      <c r="J3" s="503"/>
      <c r="K3" s="164"/>
      <c r="L3" s="164"/>
      <c r="M3" s="159"/>
      <c r="N3" s="159"/>
      <c r="O3" s="159"/>
      <c r="P3" s="159"/>
      <c r="Q3" s="159"/>
      <c r="R3" s="159"/>
      <c r="S3" s="159"/>
      <c r="T3" s="159"/>
      <c r="U3" s="159"/>
      <c r="V3" s="159"/>
    </row>
    <row r="4" spans="1:22" s="165" customFormat="1" ht="15.75" thickBot="1">
      <c r="A4" s="166"/>
      <c r="B4" s="166"/>
      <c r="C4" s="166"/>
      <c r="D4" s="167"/>
      <c r="E4" s="166"/>
      <c r="F4" s="163"/>
      <c r="G4" s="164"/>
      <c r="H4" s="164"/>
      <c r="I4" s="164"/>
      <c r="J4" s="164"/>
      <c r="K4" s="164"/>
      <c r="L4" s="164"/>
      <c r="M4" s="159"/>
      <c r="N4" s="159"/>
      <c r="O4" s="159"/>
      <c r="P4" s="159"/>
      <c r="Q4" s="159"/>
      <c r="R4" s="159"/>
      <c r="S4" s="159"/>
      <c r="T4" s="159"/>
      <c r="U4" s="159"/>
      <c r="V4" s="159"/>
    </row>
    <row r="5" spans="1:10" s="165" customFormat="1" ht="15.75" thickBot="1">
      <c r="A5" s="513"/>
      <c r="B5" s="514"/>
      <c r="C5" s="514"/>
      <c r="D5" s="514"/>
      <c r="E5" s="515"/>
      <c r="F5" s="306" t="s">
        <v>21</v>
      </c>
      <c r="G5" s="293" t="s">
        <v>15</v>
      </c>
      <c r="H5" s="307" t="s">
        <v>16</v>
      </c>
      <c r="I5" s="294" t="s">
        <v>17</v>
      </c>
      <c r="J5" s="169" t="s">
        <v>12</v>
      </c>
    </row>
    <row r="6" spans="1:10" s="165" customFormat="1" ht="15" customHeight="1">
      <c r="A6" s="516" t="s">
        <v>128</v>
      </c>
      <c r="B6" s="292">
        <v>1</v>
      </c>
      <c r="C6" s="320" t="s">
        <v>4</v>
      </c>
      <c r="D6" s="313"/>
      <c r="E6" s="321"/>
      <c r="F6" s="172">
        <v>220</v>
      </c>
      <c r="G6" s="184">
        <v>180</v>
      </c>
      <c r="H6" s="300">
        <v>40</v>
      </c>
      <c r="I6" s="296">
        <v>0</v>
      </c>
      <c r="J6" s="498" t="s">
        <v>131</v>
      </c>
    </row>
    <row r="7" spans="1:10" s="165" customFormat="1" ht="15">
      <c r="A7" s="517"/>
      <c r="B7" s="182">
        <v>2</v>
      </c>
      <c r="C7" s="322" t="s">
        <v>1</v>
      </c>
      <c r="D7" s="314"/>
      <c r="E7" s="315"/>
      <c r="F7" s="175">
        <f>G7+H7</f>
        <v>5.36</v>
      </c>
      <c r="G7" s="295">
        <v>1.91</v>
      </c>
      <c r="H7" s="301">
        <v>3.45</v>
      </c>
      <c r="I7" s="297">
        <v>0</v>
      </c>
      <c r="J7" s="499"/>
    </row>
    <row r="8" spans="1:10" s="165" customFormat="1" ht="15">
      <c r="A8" s="517"/>
      <c r="B8" s="182">
        <v>3</v>
      </c>
      <c r="C8" s="322" t="s">
        <v>2</v>
      </c>
      <c r="D8" s="314"/>
      <c r="E8" s="315"/>
      <c r="F8" s="176">
        <f>G8+H8</f>
        <v>1.5128626454764702</v>
      </c>
      <c r="G8" s="185">
        <v>0.014603377058636378</v>
      </c>
      <c r="H8" s="302">
        <v>1.4982592684178337</v>
      </c>
      <c r="I8" s="298">
        <v>0</v>
      </c>
      <c r="J8" s="499"/>
    </row>
    <row r="9" spans="1:10" s="165" customFormat="1" ht="15">
      <c r="A9" s="517"/>
      <c r="B9" s="182">
        <v>4</v>
      </c>
      <c r="C9" s="323" t="s">
        <v>105</v>
      </c>
      <c r="D9" s="324"/>
      <c r="E9" s="325"/>
      <c r="F9" s="176">
        <f>G9+H9</f>
        <v>128.55776473839651</v>
      </c>
      <c r="G9" s="185">
        <v>52.9895205356441</v>
      </c>
      <c r="H9" s="302">
        <v>75.56824420275242</v>
      </c>
      <c r="I9" s="298">
        <v>0</v>
      </c>
      <c r="J9" s="499"/>
    </row>
    <row r="10" spans="1:10" s="165" customFormat="1" ht="15">
      <c r="A10" s="517"/>
      <c r="B10" s="182">
        <v>5</v>
      </c>
      <c r="C10" s="322" t="s">
        <v>9</v>
      </c>
      <c r="D10" s="314"/>
      <c r="E10" s="315"/>
      <c r="F10" s="176">
        <v>0.93</v>
      </c>
      <c r="G10" s="185">
        <f>0.56*F10</f>
        <v>0.5208</v>
      </c>
      <c r="H10" s="302">
        <f>0.44*F10</f>
        <v>0.4092</v>
      </c>
      <c r="I10" s="298">
        <v>0</v>
      </c>
      <c r="J10" s="499"/>
    </row>
    <row r="11" spans="1:10" s="165" customFormat="1" ht="14.25" customHeight="1">
      <c r="A11" s="517"/>
      <c r="B11" s="182">
        <v>6</v>
      </c>
      <c r="C11" s="322" t="s">
        <v>5</v>
      </c>
      <c r="D11" s="314"/>
      <c r="E11" s="315"/>
      <c r="F11" s="177">
        <v>2735</v>
      </c>
      <c r="G11" s="186">
        <f>F11*0.7</f>
        <v>1914.4999999999998</v>
      </c>
      <c r="H11" s="303">
        <f>F11*0.24</f>
        <v>656.4</v>
      </c>
      <c r="I11" s="299">
        <f>F11*0.06</f>
        <v>164.1</v>
      </c>
      <c r="J11" s="499"/>
    </row>
    <row r="12" spans="1:10" s="165" customFormat="1" ht="15.75" thickBot="1">
      <c r="A12" s="518"/>
      <c r="B12" s="318">
        <v>7</v>
      </c>
      <c r="C12" s="326" t="s">
        <v>53</v>
      </c>
      <c r="D12" s="316"/>
      <c r="E12" s="317"/>
      <c r="F12" s="319">
        <f>G12+H12</f>
        <v>8</v>
      </c>
      <c r="G12" s="304">
        <v>3</v>
      </c>
      <c r="H12" s="305">
        <v>5</v>
      </c>
      <c r="I12" s="178">
        <v>0</v>
      </c>
      <c r="J12" s="500"/>
    </row>
    <row r="13" spans="1:23" ht="12.75" customHeight="1">
      <c r="A13" s="519" t="s">
        <v>133</v>
      </c>
      <c r="B13" s="292">
        <v>8</v>
      </c>
      <c r="C13" s="355" t="s">
        <v>24</v>
      </c>
      <c r="D13" s="356"/>
      <c r="E13" s="357"/>
      <c r="F13" s="172">
        <f>SUM(G13:I13)</f>
        <v>23.85123284012413</v>
      </c>
      <c r="G13" s="184">
        <v>0.3959417897997506</v>
      </c>
      <c r="H13" s="300">
        <v>12.478148050488672</v>
      </c>
      <c r="I13" s="296">
        <v>10.977142999835706</v>
      </c>
      <c r="J13" s="510" t="s">
        <v>134</v>
      </c>
      <c r="K13" s="159"/>
      <c r="L13" s="159"/>
      <c r="N13" s="162"/>
      <c r="O13" s="162"/>
      <c r="P13" s="162"/>
      <c r="Q13" s="162"/>
      <c r="R13" s="162"/>
      <c r="S13" s="162"/>
      <c r="T13" s="162"/>
      <c r="U13" s="162"/>
      <c r="V13" s="162"/>
      <c r="W13" s="162"/>
    </row>
    <row r="14" spans="1:23" ht="12.75">
      <c r="A14" s="520"/>
      <c r="B14" s="182">
        <v>9</v>
      </c>
      <c r="C14" s="322" t="s">
        <v>22</v>
      </c>
      <c r="D14" s="314"/>
      <c r="E14" s="315"/>
      <c r="F14" s="176">
        <f>SUM(G14:I14)</f>
        <v>19.741014658706856</v>
      </c>
      <c r="G14" s="185">
        <v>11.579269688804686</v>
      </c>
      <c r="H14" s="302">
        <v>0.013538140279230138</v>
      </c>
      <c r="I14" s="298">
        <v>8.14820682962294</v>
      </c>
      <c r="J14" s="511"/>
      <c r="K14" s="159"/>
      <c r="L14" s="159"/>
      <c r="N14" s="162"/>
      <c r="O14" s="162"/>
      <c r="P14" s="162"/>
      <c r="Q14" s="162"/>
      <c r="R14" s="162"/>
      <c r="S14" s="162"/>
      <c r="T14" s="162"/>
      <c r="U14" s="162"/>
      <c r="V14" s="162"/>
      <c r="W14" s="162"/>
    </row>
    <row r="15" spans="1:23" ht="13.5" thickBot="1">
      <c r="A15" s="520"/>
      <c r="B15" s="291">
        <v>10</v>
      </c>
      <c r="C15" s="326" t="s">
        <v>23</v>
      </c>
      <c r="D15" s="316"/>
      <c r="E15" s="317"/>
      <c r="F15" s="358">
        <f>SUM(G15:I15)</f>
        <v>20.744287769320213</v>
      </c>
      <c r="G15" s="359">
        <v>3.552242893802323</v>
      </c>
      <c r="H15" s="360">
        <v>6.406576896501855</v>
      </c>
      <c r="I15" s="361">
        <v>10.785467979016035</v>
      </c>
      <c r="J15" s="511"/>
      <c r="K15" s="159"/>
      <c r="L15" s="159"/>
      <c r="N15" s="162"/>
      <c r="O15" s="162"/>
      <c r="P15" s="162"/>
      <c r="Q15" s="162"/>
      <c r="R15" s="162"/>
      <c r="S15" s="162"/>
      <c r="T15" s="162"/>
      <c r="U15" s="162"/>
      <c r="V15" s="162"/>
      <c r="W15" s="162"/>
    </row>
    <row r="16" spans="1:23" ht="13.5" thickBot="1">
      <c r="A16" s="521"/>
      <c r="B16" s="318">
        <v>11</v>
      </c>
      <c r="C16" s="349" t="s">
        <v>48</v>
      </c>
      <c r="D16" s="350"/>
      <c r="E16" s="351"/>
      <c r="F16" s="352">
        <f>SUM(G16:I16)</f>
        <v>10.545461955731758</v>
      </c>
      <c r="G16" s="187">
        <v>0.7381499303630479</v>
      </c>
      <c r="H16" s="353">
        <v>1.0286446018123998</v>
      </c>
      <c r="I16" s="354">
        <v>8.77866742355631</v>
      </c>
      <c r="J16" s="512"/>
      <c r="K16" s="159"/>
      <c r="L16" s="159"/>
      <c r="N16" s="162"/>
      <c r="O16" s="162"/>
      <c r="P16" s="162"/>
      <c r="Q16" s="162"/>
      <c r="R16" s="162"/>
      <c r="S16" s="162"/>
      <c r="T16" s="162"/>
      <c r="U16" s="162"/>
      <c r="V16" s="162"/>
      <c r="W16" s="162"/>
    </row>
    <row r="17" spans="1:23" ht="12.75">
      <c r="A17" s="162"/>
      <c r="B17" s="162"/>
      <c r="C17" s="162"/>
      <c r="D17" s="162"/>
      <c r="E17" s="162"/>
      <c r="F17" s="162"/>
      <c r="G17" s="162"/>
      <c r="H17" s="162"/>
      <c r="I17" s="162"/>
      <c r="J17" s="190"/>
      <c r="K17" s="159"/>
      <c r="L17" s="159"/>
      <c r="N17" s="162"/>
      <c r="O17" s="162"/>
      <c r="P17" s="162"/>
      <c r="Q17" s="162"/>
      <c r="R17" s="162"/>
      <c r="S17" s="162"/>
      <c r="T17" s="162"/>
      <c r="U17" s="162"/>
      <c r="V17" s="162"/>
      <c r="W17" s="162"/>
    </row>
    <row r="18" spans="1:23" ht="13.5" thickBot="1">
      <c r="A18" s="162"/>
      <c r="B18" s="162"/>
      <c r="C18" s="162"/>
      <c r="D18" s="162"/>
      <c r="E18" s="162"/>
      <c r="F18" s="162"/>
      <c r="G18" s="162"/>
      <c r="H18" s="162"/>
      <c r="I18" s="162"/>
      <c r="J18" s="162"/>
      <c r="K18" s="159"/>
      <c r="L18" s="159"/>
      <c r="N18" s="162"/>
      <c r="O18" s="162"/>
      <c r="P18" s="162"/>
      <c r="Q18" s="162"/>
      <c r="R18" s="162"/>
      <c r="S18" s="162"/>
      <c r="T18" s="162"/>
      <c r="U18" s="162"/>
      <c r="V18" s="162"/>
      <c r="W18" s="162"/>
    </row>
    <row r="19" spans="1:23" ht="13.5" thickBot="1">
      <c r="A19" s="501" t="s">
        <v>139</v>
      </c>
      <c r="B19" s="502"/>
      <c r="C19" s="502"/>
      <c r="D19" s="502"/>
      <c r="E19" s="502"/>
      <c r="F19" s="502"/>
      <c r="G19" s="502"/>
      <c r="H19" s="502"/>
      <c r="I19" s="502"/>
      <c r="J19" s="503"/>
      <c r="K19" s="159"/>
      <c r="L19" s="159"/>
      <c r="N19" s="162"/>
      <c r="O19" s="162"/>
      <c r="P19" s="162"/>
      <c r="Q19" s="162"/>
      <c r="R19" s="162"/>
      <c r="S19" s="162"/>
      <c r="T19" s="162"/>
      <c r="U19" s="162"/>
      <c r="V19" s="162"/>
      <c r="W19" s="162"/>
    </row>
    <row r="20" spans="4:23" ht="13.5" thickBot="1">
      <c r="D20" s="192"/>
      <c r="E20" s="193"/>
      <c r="F20" s="192"/>
      <c r="G20" s="188"/>
      <c r="H20" s="190"/>
      <c r="I20" s="190"/>
      <c r="J20" s="190"/>
      <c r="K20" s="159"/>
      <c r="L20" s="159"/>
      <c r="N20" s="162"/>
      <c r="O20" s="162"/>
      <c r="P20" s="162"/>
      <c r="Q20" s="162"/>
      <c r="R20" s="162"/>
      <c r="S20" s="162"/>
      <c r="T20" s="162"/>
      <c r="U20" s="162"/>
      <c r="V20" s="162"/>
      <c r="W20" s="162"/>
    </row>
    <row r="21" spans="1:23" ht="13.5" thickBot="1">
      <c r="A21" s="506" t="s">
        <v>137</v>
      </c>
      <c r="B21" s="530" t="s">
        <v>136</v>
      </c>
      <c r="C21" s="531"/>
      <c r="D21" s="531"/>
      <c r="E21" s="532"/>
      <c r="F21" s="508" t="s">
        <v>21</v>
      </c>
      <c r="G21" s="522" t="s">
        <v>15</v>
      </c>
      <c r="H21" s="524" t="s">
        <v>16</v>
      </c>
      <c r="I21" s="526" t="s">
        <v>17</v>
      </c>
      <c r="J21" s="528" t="s">
        <v>12</v>
      </c>
      <c r="K21" s="159"/>
      <c r="L21" s="159"/>
      <c r="N21" s="162"/>
      <c r="O21" s="162"/>
      <c r="P21" s="162"/>
      <c r="Q21" s="162"/>
      <c r="R21" s="162"/>
      <c r="S21" s="162"/>
      <c r="T21" s="162"/>
      <c r="U21" s="162"/>
      <c r="V21" s="162"/>
      <c r="W21" s="162"/>
    </row>
    <row r="22" spans="1:256" ht="26.25" thickBot="1">
      <c r="A22" s="507"/>
      <c r="B22" s="330" t="s">
        <v>135</v>
      </c>
      <c r="C22" s="331" t="s">
        <v>2</v>
      </c>
      <c r="D22" s="331" t="s">
        <v>105</v>
      </c>
      <c r="E22" s="332" t="s">
        <v>53</v>
      </c>
      <c r="F22" s="509"/>
      <c r="G22" s="523"/>
      <c r="H22" s="525"/>
      <c r="I22" s="527"/>
      <c r="J22" s="529"/>
      <c r="K22" s="168"/>
      <c r="L22" s="168"/>
      <c r="N22" s="162"/>
      <c r="O22" s="162"/>
      <c r="P22" s="162"/>
      <c r="Q22" s="162"/>
      <c r="R22" s="162"/>
      <c r="S22" s="162"/>
      <c r="T22" s="162"/>
      <c r="U22" s="162"/>
      <c r="V22" s="162"/>
      <c r="W22" s="162"/>
      <c r="X22" s="165"/>
      <c r="Y22" s="165"/>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5"/>
      <c r="BA22" s="165"/>
      <c r="BB22" s="165"/>
      <c r="BC22" s="165"/>
      <c r="BD22" s="165"/>
      <c r="BE22" s="165"/>
      <c r="BF22" s="165"/>
      <c r="BG22" s="165"/>
      <c r="BH22" s="165"/>
      <c r="BI22" s="165"/>
      <c r="BJ22" s="165"/>
      <c r="BK22" s="165"/>
      <c r="BL22" s="165"/>
      <c r="BM22" s="165"/>
      <c r="BN22" s="165"/>
      <c r="BO22" s="165"/>
      <c r="BP22" s="165"/>
      <c r="BQ22" s="165"/>
      <c r="BR22" s="165"/>
      <c r="BS22" s="165"/>
      <c r="BT22" s="165"/>
      <c r="BU22" s="165"/>
      <c r="BV22" s="165"/>
      <c r="BW22" s="165"/>
      <c r="BX22" s="165"/>
      <c r="BY22" s="165"/>
      <c r="BZ22" s="165"/>
      <c r="CA22" s="165"/>
      <c r="CB22" s="165"/>
      <c r="CC22" s="165"/>
      <c r="CD22" s="165"/>
      <c r="CE22" s="165"/>
      <c r="CF22" s="165"/>
      <c r="CG22" s="165"/>
      <c r="CH22" s="165"/>
      <c r="CI22" s="165"/>
      <c r="CJ22" s="165"/>
      <c r="CK22" s="165"/>
      <c r="CL22" s="165"/>
      <c r="CM22" s="165"/>
      <c r="CN22" s="165"/>
      <c r="CO22" s="165"/>
      <c r="CP22" s="165"/>
      <c r="CQ22" s="165"/>
      <c r="CR22" s="165"/>
      <c r="CS22" s="165"/>
      <c r="CT22" s="165"/>
      <c r="CU22" s="165"/>
      <c r="CV22" s="165"/>
      <c r="CW22" s="165"/>
      <c r="CX22" s="165"/>
      <c r="CY22" s="165"/>
      <c r="CZ22" s="165"/>
      <c r="DA22" s="165"/>
      <c r="DB22" s="165"/>
      <c r="DC22" s="165"/>
      <c r="DD22" s="165"/>
      <c r="DE22" s="165"/>
      <c r="DF22" s="165"/>
      <c r="DG22" s="165"/>
      <c r="DH22" s="165"/>
      <c r="DI22" s="165"/>
      <c r="DJ22" s="165"/>
      <c r="DK22" s="165"/>
      <c r="DL22" s="165"/>
      <c r="DM22" s="165"/>
      <c r="DN22" s="165"/>
      <c r="DO22" s="165"/>
      <c r="DP22" s="165"/>
      <c r="DQ22" s="165"/>
      <c r="DR22" s="165"/>
      <c r="DS22" s="165"/>
      <c r="DT22" s="165"/>
      <c r="DU22" s="165"/>
      <c r="DV22" s="165"/>
      <c r="DW22" s="165"/>
      <c r="DX22" s="165"/>
      <c r="DY22" s="165"/>
      <c r="DZ22" s="165"/>
      <c r="EA22" s="165"/>
      <c r="EB22" s="165"/>
      <c r="EC22" s="165"/>
      <c r="ED22" s="165"/>
      <c r="EE22" s="165"/>
      <c r="EF22" s="165"/>
      <c r="EG22" s="165"/>
      <c r="EH22" s="165"/>
      <c r="EI22" s="165"/>
      <c r="EJ22" s="165"/>
      <c r="EK22" s="165"/>
      <c r="EL22" s="165"/>
      <c r="EM22" s="165"/>
      <c r="EN22" s="165"/>
      <c r="EO22" s="165"/>
      <c r="EP22" s="165"/>
      <c r="EQ22" s="165"/>
      <c r="ER22" s="165"/>
      <c r="ES22" s="165"/>
      <c r="ET22" s="165"/>
      <c r="EU22" s="165"/>
      <c r="EV22" s="165"/>
      <c r="EW22" s="165"/>
      <c r="EX22" s="165"/>
      <c r="EY22" s="165"/>
      <c r="EZ22" s="165"/>
      <c r="FA22" s="165"/>
      <c r="FB22" s="165"/>
      <c r="FC22" s="165"/>
      <c r="FD22" s="165"/>
      <c r="FE22" s="165"/>
      <c r="FF22" s="165"/>
      <c r="FG22" s="165"/>
      <c r="FH22" s="165"/>
      <c r="FI22" s="165"/>
      <c r="FJ22" s="165"/>
      <c r="FK22" s="165"/>
      <c r="FL22" s="165"/>
      <c r="FM22" s="165"/>
      <c r="FN22" s="165"/>
      <c r="FO22" s="165"/>
      <c r="FP22" s="165"/>
      <c r="FQ22" s="165"/>
      <c r="FR22" s="165"/>
      <c r="FS22" s="165"/>
      <c r="FT22" s="165"/>
      <c r="FU22" s="165"/>
      <c r="FV22" s="165"/>
      <c r="FW22" s="165"/>
      <c r="FX22" s="165"/>
      <c r="FY22" s="165"/>
      <c r="FZ22" s="165"/>
      <c r="GA22" s="165"/>
      <c r="GB22" s="165"/>
      <c r="GC22" s="165"/>
      <c r="GD22" s="165"/>
      <c r="GE22" s="165"/>
      <c r="GF22" s="165"/>
      <c r="GG22" s="165"/>
      <c r="GH22" s="165"/>
      <c r="GI22" s="165"/>
      <c r="GJ22" s="165"/>
      <c r="GK22" s="165"/>
      <c r="GL22" s="165"/>
      <c r="GM22" s="165"/>
      <c r="GN22" s="165"/>
      <c r="GO22" s="165"/>
      <c r="GP22" s="165"/>
      <c r="GQ22" s="165"/>
      <c r="GR22" s="165"/>
      <c r="GS22" s="165"/>
      <c r="GT22" s="165"/>
      <c r="GU22" s="165"/>
      <c r="GV22" s="165"/>
      <c r="GW22" s="165"/>
      <c r="GX22" s="165"/>
      <c r="GY22" s="165"/>
      <c r="GZ22" s="165"/>
      <c r="HA22" s="165"/>
      <c r="HB22" s="165"/>
      <c r="HC22" s="165"/>
      <c r="HD22" s="165"/>
      <c r="HE22" s="165"/>
      <c r="HF22" s="165"/>
      <c r="HG22" s="165"/>
      <c r="HH22" s="165"/>
      <c r="HI22" s="165"/>
      <c r="HJ22" s="165"/>
      <c r="HK22" s="165"/>
      <c r="HL22" s="165"/>
      <c r="HM22" s="165"/>
      <c r="HN22" s="165"/>
      <c r="HO22" s="165"/>
      <c r="HP22" s="165"/>
      <c r="HQ22" s="165"/>
      <c r="HR22" s="165"/>
      <c r="HS22" s="165"/>
      <c r="HT22" s="165"/>
      <c r="HU22" s="165"/>
      <c r="HV22" s="165"/>
      <c r="HW22" s="165"/>
      <c r="HX22" s="165"/>
      <c r="HY22" s="165"/>
      <c r="HZ22" s="165"/>
      <c r="IA22" s="165"/>
      <c r="IB22" s="165"/>
      <c r="IC22" s="165"/>
      <c r="ID22" s="165"/>
      <c r="IE22" s="165"/>
      <c r="IF22" s="165"/>
      <c r="IG22" s="165"/>
      <c r="IH22" s="165"/>
      <c r="II22" s="165"/>
      <c r="IJ22" s="165"/>
      <c r="IK22" s="165"/>
      <c r="IL22" s="165"/>
      <c r="IM22" s="165"/>
      <c r="IN22" s="165"/>
      <c r="IO22" s="165"/>
      <c r="IP22" s="165"/>
      <c r="IQ22" s="165"/>
      <c r="IR22" s="165"/>
      <c r="IS22" s="165"/>
      <c r="IT22" s="165"/>
      <c r="IU22" s="165"/>
      <c r="IV22" s="165"/>
    </row>
    <row r="23" spans="1:256" ht="15" customHeight="1">
      <c r="A23" s="345" t="s">
        <v>18</v>
      </c>
      <c r="B23" s="327">
        <f>1-C23-D23-E23</f>
        <v>1</v>
      </c>
      <c r="C23" s="194">
        <v>0</v>
      </c>
      <c r="D23" s="194">
        <v>0</v>
      </c>
      <c r="E23" s="194">
        <v>0</v>
      </c>
      <c r="F23" s="170">
        <f>SUM(G23:I23)</f>
        <v>985.3744161609942</v>
      </c>
      <c r="G23" s="171">
        <v>818.2643141339246</v>
      </c>
      <c r="H23" s="338">
        <v>145.2873826804414</v>
      </c>
      <c r="I23" s="333">
        <v>21.822719346628244</v>
      </c>
      <c r="J23" s="498" t="s">
        <v>131</v>
      </c>
      <c r="K23" s="159"/>
      <c r="L23" s="159"/>
      <c r="N23" s="162"/>
      <c r="O23" s="162"/>
      <c r="P23" s="162"/>
      <c r="Q23" s="162"/>
      <c r="R23" s="162"/>
      <c r="S23" s="162"/>
      <c r="T23" s="162"/>
      <c r="U23" s="162"/>
      <c r="V23" s="162"/>
      <c r="W23" s="162"/>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5"/>
      <c r="AU23" s="165"/>
      <c r="AV23" s="165"/>
      <c r="AW23" s="165"/>
      <c r="AX23" s="165"/>
      <c r="AY23" s="165"/>
      <c r="AZ23" s="165"/>
      <c r="BA23" s="165"/>
      <c r="BB23" s="165"/>
      <c r="BC23" s="165"/>
      <c r="BD23" s="165"/>
      <c r="BE23" s="165"/>
      <c r="BF23" s="165"/>
      <c r="BG23" s="165"/>
      <c r="BH23" s="165"/>
      <c r="BI23" s="165"/>
      <c r="BJ23" s="165"/>
      <c r="BK23" s="165"/>
      <c r="BL23" s="165"/>
      <c r="BM23" s="165"/>
      <c r="BN23" s="165"/>
      <c r="BO23" s="165"/>
      <c r="BP23" s="165"/>
      <c r="BQ23" s="165"/>
      <c r="BR23" s="165"/>
      <c r="BS23" s="165"/>
      <c r="BT23" s="165"/>
      <c r="BU23" s="165"/>
      <c r="BV23" s="165"/>
      <c r="BW23" s="165"/>
      <c r="BX23" s="165"/>
      <c r="BY23" s="165"/>
      <c r="BZ23" s="165"/>
      <c r="CA23" s="165"/>
      <c r="CB23" s="165"/>
      <c r="CC23" s="165"/>
      <c r="CD23" s="165"/>
      <c r="CE23" s="165"/>
      <c r="CF23" s="165"/>
      <c r="CG23" s="165"/>
      <c r="CH23" s="165"/>
      <c r="CI23" s="165"/>
      <c r="CJ23" s="165"/>
      <c r="CK23" s="165"/>
      <c r="CL23" s="165"/>
      <c r="CM23" s="165"/>
      <c r="CN23" s="165"/>
      <c r="CO23" s="165"/>
      <c r="CP23" s="165"/>
      <c r="CQ23" s="165"/>
      <c r="CR23" s="165"/>
      <c r="CS23" s="165"/>
      <c r="CT23" s="165"/>
      <c r="CU23" s="165"/>
      <c r="CV23" s="165"/>
      <c r="CW23" s="165"/>
      <c r="CX23" s="165"/>
      <c r="CY23" s="165"/>
      <c r="CZ23" s="165"/>
      <c r="DA23" s="165"/>
      <c r="DB23" s="165"/>
      <c r="DC23" s="165"/>
      <c r="DD23" s="165"/>
      <c r="DE23" s="165"/>
      <c r="DF23" s="165"/>
      <c r="DG23" s="165"/>
      <c r="DH23" s="165"/>
      <c r="DI23" s="165"/>
      <c r="DJ23" s="165"/>
      <c r="DK23" s="165"/>
      <c r="DL23" s="165"/>
      <c r="DM23" s="165"/>
      <c r="DN23" s="165"/>
      <c r="DO23" s="165"/>
      <c r="DP23" s="165"/>
      <c r="DQ23" s="165"/>
      <c r="DR23" s="165"/>
      <c r="DS23" s="165"/>
      <c r="DT23" s="165"/>
      <c r="DU23" s="165"/>
      <c r="DV23" s="165"/>
      <c r="DW23" s="165"/>
      <c r="DX23" s="165"/>
      <c r="DY23" s="165"/>
      <c r="DZ23" s="165"/>
      <c r="EA23" s="165"/>
      <c r="EB23" s="165"/>
      <c r="EC23" s="165"/>
      <c r="ED23" s="165"/>
      <c r="EE23" s="165"/>
      <c r="EF23" s="165"/>
      <c r="EG23" s="165"/>
      <c r="EH23" s="165"/>
      <c r="EI23" s="165"/>
      <c r="EJ23" s="165"/>
      <c r="EK23" s="165"/>
      <c r="EL23" s="165"/>
      <c r="EM23" s="165"/>
      <c r="EN23" s="165"/>
      <c r="EO23" s="165"/>
      <c r="EP23" s="165"/>
      <c r="EQ23" s="165"/>
      <c r="ER23" s="165"/>
      <c r="ES23" s="165"/>
      <c r="ET23" s="165"/>
      <c r="EU23" s="165"/>
      <c r="EV23" s="165"/>
      <c r="EW23" s="165"/>
      <c r="EX23" s="165"/>
      <c r="EY23" s="165"/>
      <c r="EZ23" s="165"/>
      <c r="FA23" s="165"/>
      <c r="FB23" s="165"/>
      <c r="FC23" s="165"/>
      <c r="FD23" s="165"/>
      <c r="FE23" s="165"/>
      <c r="FF23" s="165"/>
      <c r="FG23" s="165"/>
      <c r="FH23" s="165"/>
      <c r="FI23" s="165"/>
      <c r="FJ23" s="165"/>
      <c r="FK23" s="165"/>
      <c r="FL23" s="165"/>
      <c r="FM23" s="165"/>
      <c r="FN23" s="165"/>
      <c r="FO23" s="165"/>
      <c r="FP23" s="165"/>
      <c r="FQ23" s="165"/>
      <c r="FR23" s="165"/>
      <c r="FS23" s="165"/>
      <c r="FT23" s="165"/>
      <c r="FU23" s="165"/>
      <c r="FV23" s="165"/>
      <c r="FW23" s="165"/>
      <c r="FX23" s="165"/>
      <c r="FY23" s="165"/>
      <c r="FZ23" s="165"/>
      <c r="GA23" s="165"/>
      <c r="GB23" s="165"/>
      <c r="GC23" s="165"/>
      <c r="GD23" s="165"/>
      <c r="GE23" s="165"/>
      <c r="GF23" s="165"/>
      <c r="GG23" s="165"/>
      <c r="GH23" s="165"/>
      <c r="GI23" s="165"/>
      <c r="GJ23" s="165"/>
      <c r="GK23" s="165"/>
      <c r="GL23" s="165"/>
      <c r="GM23" s="165"/>
      <c r="GN23" s="165"/>
      <c r="GO23" s="165"/>
      <c r="GP23" s="165"/>
      <c r="GQ23" s="165"/>
      <c r="GR23" s="165"/>
      <c r="GS23" s="165"/>
      <c r="GT23" s="165"/>
      <c r="GU23" s="165"/>
      <c r="GV23" s="165"/>
      <c r="GW23" s="165"/>
      <c r="GX23" s="165"/>
      <c r="GY23" s="165"/>
      <c r="GZ23" s="165"/>
      <c r="HA23" s="165"/>
      <c r="HB23" s="165"/>
      <c r="HC23" s="165"/>
      <c r="HD23" s="165"/>
      <c r="HE23" s="165"/>
      <c r="HF23" s="165"/>
      <c r="HG23" s="165"/>
      <c r="HH23" s="165"/>
      <c r="HI23" s="165"/>
      <c r="HJ23" s="165"/>
      <c r="HK23" s="165"/>
      <c r="HL23" s="165"/>
      <c r="HM23" s="165"/>
      <c r="HN23" s="165"/>
      <c r="HO23" s="165"/>
      <c r="HP23" s="165"/>
      <c r="HQ23" s="165"/>
      <c r="HR23" s="165"/>
      <c r="HS23" s="165"/>
      <c r="HT23" s="165"/>
      <c r="HU23" s="165"/>
      <c r="HV23" s="165"/>
      <c r="HW23" s="165"/>
      <c r="HX23" s="165"/>
      <c r="HY23" s="165"/>
      <c r="HZ23" s="165"/>
      <c r="IA23" s="165"/>
      <c r="IB23" s="165"/>
      <c r="IC23" s="165"/>
      <c r="ID23" s="165"/>
      <c r="IE23" s="165"/>
      <c r="IF23" s="165"/>
      <c r="IG23" s="165"/>
      <c r="IH23" s="165"/>
      <c r="II23" s="165"/>
      <c r="IJ23" s="165"/>
      <c r="IK23" s="165"/>
      <c r="IL23" s="165"/>
      <c r="IM23" s="165"/>
      <c r="IN23" s="165"/>
      <c r="IO23" s="165"/>
      <c r="IP23" s="165"/>
      <c r="IQ23" s="165"/>
      <c r="IR23" s="165"/>
      <c r="IS23" s="165"/>
      <c r="IT23" s="165"/>
      <c r="IU23" s="165"/>
      <c r="IV23" s="165"/>
    </row>
    <row r="24" spans="1:256" ht="15">
      <c r="A24" s="346" t="s">
        <v>43</v>
      </c>
      <c r="B24" s="328">
        <f aca="true" t="shared" si="0" ref="B24:B38">1-C24-D24-E24</f>
        <v>0.85</v>
      </c>
      <c r="C24" s="195">
        <v>0</v>
      </c>
      <c r="D24" s="195">
        <v>0</v>
      </c>
      <c r="E24" s="195">
        <v>0.15</v>
      </c>
      <c r="F24" s="173">
        <f>SUM(G24:I24)</f>
        <v>838.768253736845</v>
      </c>
      <c r="G24" s="174">
        <f aca="true" t="shared" si="1" ref="G24:G34">(G$23*$B24)+($G$8*$C24)+($G$9*$D24)+($G$12*$E24)</f>
        <v>695.9746670138359</v>
      </c>
      <c r="H24" s="339">
        <f aca="true" t="shared" si="2" ref="H24:H34">(H$23*$B24)+($H$8*$C24)+($H$9*$D24)+($H$12*$E24)</f>
        <v>124.24427527837518</v>
      </c>
      <c r="I24" s="334">
        <f aca="true" t="shared" si="3" ref="I24:I34">(I$23*$B24)+($I$8*$C24)+($I$9*$D24)+($I$12*$E24)</f>
        <v>18.549311444634007</v>
      </c>
      <c r="J24" s="499"/>
      <c r="K24" s="159"/>
      <c r="L24" s="159"/>
      <c r="N24" s="162"/>
      <c r="O24" s="162"/>
      <c r="P24" s="162"/>
      <c r="Q24" s="162"/>
      <c r="R24" s="162"/>
      <c r="S24" s="162"/>
      <c r="T24" s="162"/>
      <c r="U24" s="162"/>
      <c r="V24" s="162"/>
      <c r="W24" s="162"/>
      <c r="X24" s="165"/>
      <c r="Y24" s="165"/>
      <c r="Z24" s="165"/>
      <c r="AA24" s="165"/>
      <c r="AB24" s="165"/>
      <c r="AC24" s="165"/>
      <c r="AD24" s="165"/>
      <c r="AE24" s="165"/>
      <c r="AF24" s="165"/>
      <c r="AG24" s="165"/>
      <c r="AH24" s="165"/>
      <c r="AI24" s="165"/>
      <c r="AJ24" s="165"/>
      <c r="AK24" s="165"/>
      <c r="AL24" s="165"/>
      <c r="AM24" s="165"/>
      <c r="AN24" s="165"/>
      <c r="AO24" s="165"/>
      <c r="AP24" s="165"/>
      <c r="AQ24" s="165"/>
      <c r="AR24" s="165"/>
      <c r="AS24" s="165"/>
      <c r="AT24" s="165"/>
      <c r="AU24" s="165"/>
      <c r="AV24" s="165"/>
      <c r="AW24" s="165"/>
      <c r="AX24" s="165"/>
      <c r="AY24" s="165"/>
      <c r="AZ24" s="165"/>
      <c r="BA24" s="165"/>
      <c r="BB24" s="165"/>
      <c r="BC24" s="165"/>
      <c r="BD24" s="165"/>
      <c r="BE24" s="165"/>
      <c r="BF24" s="165"/>
      <c r="BG24" s="165"/>
      <c r="BH24" s="165"/>
      <c r="BI24" s="165"/>
      <c r="BJ24" s="165"/>
      <c r="BK24" s="165"/>
      <c r="BL24" s="165"/>
      <c r="BM24" s="165"/>
      <c r="BN24" s="165"/>
      <c r="BO24" s="165"/>
      <c r="BP24" s="165"/>
      <c r="BQ24" s="165"/>
      <c r="BR24" s="165"/>
      <c r="BS24" s="165"/>
      <c r="BT24" s="165"/>
      <c r="BU24" s="165"/>
      <c r="BV24" s="165"/>
      <c r="BW24" s="165"/>
      <c r="BX24" s="165"/>
      <c r="BY24" s="165"/>
      <c r="BZ24" s="165"/>
      <c r="CA24" s="165"/>
      <c r="CB24" s="165"/>
      <c r="CC24" s="165"/>
      <c r="CD24" s="165"/>
      <c r="CE24" s="165"/>
      <c r="CF24" s="165"/>
      <c r="CG24" s="165"/>
      <c r="CH24" s="165"/>
      <c r="CI24" s="165"/>
      <c r="CJ24" s="165"/>
      <c r="CK24" s="165"/>
      <c r="CL24" s="165"/>
      <c r="CM24" s="165"/>
      <c r="CN24" s="165"/>
      <c r="CO24" s="165"/>
      <c r="CP24" s="165"/>
      <c r="CQ24" s="165"/>
      <c r="CR24" s="165"/>
      <c r="CS24" s="165"/>
      <c r="CT24" s="165"/>
      <c r="CU24" s="165"/>
      <c r="CV24" s="165"/>
      <c r="CW24" s="165"/>
      <c r="CX24" s="165"/>
      <c r="CY24" s="165"/>
      <c r="CZ24" s="165"/>
      <c r="DA24" s="165"/>
      <c r="DB24" s="165"/>
      <c r="DC24" s="165"/>
      <c r="DD24" s="165"/>
      <c r="DE24" s="165"/>
      <c r="DF24" s="165"/>
      <c r="DG24" s="165"/>
      <c r="DH24" s="165"/>
      <c r="DI24" s="165"/>
      <c r="DJ24" s="165"/>
      <c r="DK24" s="165"/>
      <c r="DL24" s="165"/>
      <c r="DM24" s="165"/>
      <c r="DN24" s="165"/>
      <c r="DO24" s="165"/>
      <c r="DP24" s="165"/>
      <c r="DQ24" s="165"/>
      <c r="DR24" s="165"/>
      <c r="DS24" s="165"/>
      <c r="DT24" s="165"/>
      <c r="DU24" s="165"/>
      <c r="DV24" s="165"/>
      <c r="DW24" s="165"/>
      <c r="DX24" s="165"/>
      <c r="DY24" s="165"/>
      <c r="DZ24" s="165"/>
      <c r="EA24" s="165"/>
      <c r="EB24" s="165"/>
      <c r="EC24" s="165"/>
      <c r="ED24" s="165"/>
      <c r="EE24" s="165"/>
      <c r="EF24" s="165"/>
      <c r="EG24" s="165"/>
      <c r="EH24" s="165"/>
      <c r="EI24" s="165"/>
      <c r="EJ24" s="165"/>
      <c r="EK24" s="165"/>
      <c r="EL24" s="165"/>
      <c r="EM24" s="165"/>
      <c r="EN24" s="165"/>
      <c r="EO24" s="165"/>
      <c r="EP24" s="165"/>
      <c r="EQ24" s="165"/>
      <c r="ER24" s="165"/>
      <c r="ES24" s="165"/>
      <c r="ET24" s="165"/>
      <c r="EU24" s="165"/>
      <c r="EV24" s="165"/>
      <c r="EW24" s="165"/>
      <c r="EX24" s="165"/>
      <c r="EY24" s="165"/>
      <c r="EZ24" s="165"/>
      <c r="FA24" s="165"/>
      <c r="FB24" s="165"/>
      <c r="FC24" s="165"/>
      <c r="FD24" s="165"/>
      <c r="FE24" s="165"/>
      <c r="FF24" s="165"/>
      <c r="FG24" s="165"/>
      <c r="FH24" s="165"/>
      <c r="FI24" s="165"/>
      <c r="FJ24" s="165"/>
      <c r="FK24" s="165"/>
      <c r="FL24" s="165"/>
      <c r="FM24" s="165"/>
      <c r="FN24" s="165"/>
      <c r="FO24" s="165"/>
      <c r="FP24" s="165"/>
      <c r="FQ24" s="165"/>
      <c r="FR24" s="165"/>
      <c r="FS24" s="165"/>
      <c r="FT24" s="165"/>
      <c r="FU24" s="165"/>
      <c r="FV24" s="165"/>
      <c r="FW24" s="165"/>
      <c r="FX24" s="165"/>
      <c r="FY24" s="165"/>
      <c r="FZ24" s="165"/>
      <c r="GA24" s="165"/>
      <c r="GB24" s="165"/>
      <c r="GC24" s="165"/>
      <c r="GD24" s="165"/>
      <c r="GE24" s="165"/>
      <c r="GF24" s="165"/>
      <c r="GG24" s="165"/>
      <c r="GH24" s="165"/>
      <c r="GI24" s="165"/>
      <c r="GJ24" s="165"/>
      <c r="GK24" s="165"/>
      <c r="GL24" s="165"/>
      <c r="GM24" s="165"/>
      <c r="GN24" s="165"/>
      <c r="GO24" s="165"/>
      <c r="GP24" s="165"/>
      <c r="GQ24" s="165"/>
      <c r="GR24" s="165"/>
      <c r="GS24" s="165"/>
      <c r="GT24" s="165"/>
      <c r="GU24" s="165"/>
      <c r="GV24" s="165"/>
      <c r="GW24" s="165"/>
      <c r="GX24" s="165"/>
      <c r="GY24" s="165"/>
      <c r="GZ24" s="165"/>
      <c r="HA24" s="165"/>
      <c r="HB24" s="165"/>
      <c r="HC24" s="165"/>
      <c r="HD24" s="165"/>
      <c r="HE24" s="165"/>
      <c r="HF24" s="165"/>
      <c r="HG24" s="165"/>
      <c r="HH24" s="165"/>
      <c r="HI24" s="165"/>
      <c r="HJ24" s="165"/>
      <c r="HK24" s="165"/>
      <c r="HL24" s="165"/>
      <c r="HM24" s="165"/>
      <c r="HN24" s="165"/>
      <c r="HO24" s="165"/>
      <c r="HP24" s="165"/>
      <c r="HQ24" s="165"/>
      <c r="HR24" s="165"/>
      <c r="HS24" s="165"/>
      <c r="HT24" s="165"/>
      <c r="HU24" s="165"/>
      <c r="HV24" s="165"/>
      <c r="HW24" s="165"/>
      <c r="HX24" s="165"/>
      <c r="HY24" s="165"/>
      <c r="HZ24" s="165"/>
      <c r="IA24" s="165"/>
      <c r="IB24" s="165"/>
      <c r="IC24" s="165"/>
      <c r="ID24" s="165"/>
      <c r="IE24" s="165"/>
      <c r="IF24" s="165"/>
      <c r="IG24" s="165"/>
      <c r="IH24" s="165"/>
      <c r="II24" s="165"/>
      <c r="IJ24" s="165"/>
      <c r="IK24" s="165"/>
      <c r="IL24" s="165"/>
      <c r="IM24" s="165"/>
      <c r="IN24" s="165"/>
      <c r="IO24" s="165"/>
      <c r="IP24" s="165"/>
      <c r="IQ24" s="165"/>
      <c r="IR24" s="165"/>
      <c r="IS24" s="165"/>
      <c r="IT24" s="165"/>
      <c r="IU24" s="165"/>
      <c r="IV24" s="165"/>
    </row>
    <row r="25" spans="1:256" ht="15">
      <c r="A25" s="346" t="s">
        <v>35</v>
      </c>
      <c r="B25" s="328">
        <f t="shared" si="0"/>
        <v>0.8</v>
      </c>
      <c r="C25" s="195">
        <v>0</v>
      </c>
      <c r="D25" s="195">
        <v>0.2</v>
      </c>
      <c r="E25" s="195">
        <v>0</v>
      </c>
      <c r="F25" s="173">
        <f aca="true" t="shared" si="4" ref="F25:F32">SUM(G25:I25)</f>
        <v>814.0110858764747</v>
      </c>
      <c r="G25" s="174">
        <f t="shared" si="1"/>
        <v>665.2093554142685</v>
      </c>
      <c r="H25" s="339">
        <f t="shared" si="2"/>
        <v>131.34355498490362</v>
      </c>
      <c r="I25" s="334">
        <f t="shared" si="3"/>
        <v>17.458175477302596</v>
      </c>
      <c r="J25" s="499"/>
      <c r="K25" s="159"/>
      <c r="L25" s="159"/>
      <c r="N25" s="162"/>
      <c r="O25" s="162"/>
      <c r="P25" s="162"/>
      <c r="Q25" s="162"/>
      <c r="R25" s="162"/>
      <c r="S25" s="162"/>
      <c r="T25" s="162"/>
      <c r="U25" s="162"/>
      <c r="V25" s="162"/>
      <c r="W25" s="162"/>
      <c r="X25" s="165"/>
      <c r="Y25" s="165"/>
      <c r="Z25" s="165"/>
      <c r="AA25" s="165"/>
      <c r="AB25" s="165"/>
      <c r="AC25" s="165"/>
      <c r="AD25" s="165"/>
      <c r="AE25" s="165"/>
      <c r="AF25" s="165"/>
      <c r="AG25" s="165"/>
      <c r="AH25" s="165"/>
      <c r="AI25" s="165"/>
      <c r="AJ25" s="165"/>
      <c r="AK25" s="165"/>
      <c r="AL25" s="165"/>
      <c r="AM25" s="165"/>
      <c r="AN25" s="165"/>
      <c r="AO25" s="165"/>
      <c r="AP25" s="165"/>
      <c r="AQ25" s="165"/>
      <c r="AR25" s="165"/>
      <c r="AS25" s="165"/>
      <c r="AT25" s="165"/>
      <c r="AU25" s="165"/>
      <c r="AV25" s="165"/>
      <c r="AW25" s="165"/>
      <c r="AX25" s="165"/>
      <c r="AY25" s="165"/>
      <c r="AZ25" s="165"/>
      <c r="BA25" s="165"/>
      <c r="BB25" s="165"/>
      <c r="BC25" s="165"/>
      <c r="BD25" s="165"/>
      <c r="BE25" s="165"/>
      <c r="BF25" s="165"/>
      <c r="BG25" s="165"/>
      <c r="BH25" s="165"/>
      <c r="BI25" s="165"/>
      <c r="BJ25" s="165"/>
      <c r="BK25" s="165"/>
      <c r="BL25" s="165"/>
      <c r="BM25" s="165"/>
      <c r="BN25" s="165"/>
      <c r="BO25" s="165"/>
      <c r="BP25" s="165"/>
      <c r="BQ25" s="165"/>
      <c r="BR25" s="165"/>
      <c r="BS25" s="165"/>
      <c r="BT25" s="165"/>
      <c r="BU25" s="165"/>
      <c r="BV25" s="165"/>
      <c r="BW25" s="165"/>
      <c r="BX25" s="165"/>
      <c r="BY25" s="165"/>
      <c r="BZ25" s="165"/>
      <c r="CA25" s="165"/>
      <c r="CB25" s="165"/>
      <c r="CC25" s="165"/>
      <c r="CD25" s="165"/>
      <c r="CE25" s="165"/>
      <c r="CF25" s="165"/>
      <c r="CG25" s="165"/>
      <c r="CH25" s="165"/>
      <c r="CI25" s="165"/>
      <c r="CJ25" s="165"/>
      <c r="CK25" s="165"/>
      <c r="CL25" s="165"/>
      <c r="CM25" s="165"/>
      <c r="CN25" s="165"/>
      <c r="CO25" s="165"/>
      <c r="CP25" s="165"/>
      <c r="CQ25" s="165"/>
      <c r="CR25" s="165"/>
      <c r="CS25" s="165"/>
      <c r="CT25" s="165"/>
      <c r="CU25" s="165"/>
      <c r="CV25" s="165"/>
      <c r="CW25" s="165"/>
      <c r="CX25" s="165"/>
      <c r="CY25" s="165"/>
      <c r="CZ25" s="165"/>
      <c r="DA25" s="165"/>
      <c r="DB25" s="165"/>
      <c r="DC25" s="165"/>
      <c r="DD25" s="165"/>
      <c r="DE25" s="165"/>
      <c r="DF25" s="165"/>
      <c r="DG25" s="165"/>
      <c r="DH25" s="165"/>
      <c r="DI25" s="165"/>
      <c r="DJ25" s="165"/>
      <c r="DK25" s="165"/>
      <c r="DL25" s="165"/>
      <c r="DM25" s="165"/>
      <c r="DN25" s="165"/>
      <c r="DO25" s="165"/>
      <c r="DP25" s="165"/>
      <c r="DQ25" s="165"/>
      <c r="DR25" s="165"/>
      <c r="DS25" s="165"/>
      <c r="DT25" s="165"/>
      <c r="DU25" s="165"/>
      <c r="DV25" s="165"/>
      <c r="DW25" s="165"/>
      <c r="DX25" s="165"/>
      <c r="DY25" s="165"/>
      <c r="DZ25" s="165"/>
      <c r="EA25" s="165"/>
      <c r="EB25" s="165"/>
      <c r="EC25" s="165"/>
      <c r="ED25" s="165"/>
      <c r="EE25" s="165"/>
      <c r="EF25" s="165"/>
      <c r="EG25" s="165"/>
      <c r="EH25" s="165"/>
      <c r="EI25" s="165"/>
      <c r="EJ25" s="165"/>
      <c r="EK25" s="165"/>
      <c r="EL25" s="165"/>
      <c r="EM25" s="165"/>
      <c r="EN25" s="165"/>
      <c r="EO25" s="165"/>
      <c r="EP25" s="165"/>
      <c r="EQ25" s="165"/>
      <c r="ER25" s="165"/>
      <c r="ES25" s="165"/>
      <c r="ET25" s="165"/>
      <c r="EU25" s="165"/>
      <c r="EV25" s="165"/>
      <c r="EW25" s="165"/>
      <c r="EX25" s="165"/>
      <c r="EY25" s="165"/>
      <c r="EZ25" s="165"/>
      <c r="FA25" s="165"/>
      <c r="FB25" s="165"/>
      <c r="FC25" s="165"/>
      <c r="FD25" s="165"/>
      <c r="FE25" s="165"/>
      <c r="FF25" s="165"/>
      <c r="FG25" s="165"/>
      <c r="FH25" s="165"/>
      <c r="FI25" s="165"/>
      <c r="FJ25" s="165"/>
      <c r="FK25" s="165"/>
      <c r="FL25" s="165"/>
      <c r="FM25" s="165"/>
      <c r="FN25" s="165"/>
      <c r="FO25" s="165"/>
      <c r="FP25" s="165"/>
      <c r="FQ25" s="165"/>
      <c r="FR25" s="165"/>
      <c r="FS25" s="165"/>
      <c r="FT25" s="165"/>
      <c r="FU25" s="165"/>
      <c r="FV25" s="165"/>
      <c r="FW25" s="165"/>
      <c r="FX25" s="165"/>
      <c r="FY25" s="165"/>
      <c r="FZ25" s="165"/>
      <c r="GA25" s="165"/>
      <c r="GB25" s="165"/>
      <c r="GC25" s="165"/>
      <c r="GD25" s="165"/>
      <c r="GE25" s="165"/>
      <c r="GF25" s="165"/>
      <c r="GG25" s="165"/>
      <c r="GH25" s="165"/>
      <c r="GI25" s="165"/>
      <c r="GJ25" s="165"/>
      <c r="GK25" s="165"/>
      <c r="GL25" s="165"/>
      <c r="GM25" s="165"/>
      <c r="GN25" s="165"/>
      <c r="GO25" s="165"/>
      <c r="GP25" s="165"/>
      <c r="GQ25" s="165"/>
      <c r="GR25" s="165"/>
      <c r="GS25" s="165"/>
      <c r="GT25" s="165"/>
      <c r="GU25" s="165"/>
      <c r="GV25" s="165"/>
      <c r="GW25" s="165"/>
      <c r="GX25" s="165"/>
      <c r="GY25" s="165"/>
      <c r="GZ25" s="165"/>
      <c r="HA25" s="165"/>
      <c r="HB25" s="165"/>
      <c r="HC25" s="165"/>
      <c r="HD25" s="165"/>
      <c r="HE25" s="165"/>
      <c r="HF25" s="165"/>
      <c r="HG25" s="165"/>
      <c r="HH25" s="165"/>
      <c r="HI25" s="165"/>
      <c r="HJ25" s="165"/>
      <c r="HK25" s="165"/>
      <c r="HL25" s="165"/>
      <c r="HM25" s="165"/>
      <c r="HN25" s="165"/>
      <c r="HO25" s="165"/>
      <c r="HP25" s="165"/>
      <c r="HQ25" s="165"/>
      <c r="HR25" s="165"/>
      <c r="HS25" s="165"/>
      <c r="HT25" s="165"/>
      <c r="HU25" s="165"/>
      <c r="HV25" s="165"/>
      <c r="HW25" s="165"/>
      <c r="HX25" s="165"/>
      <c r="HY25" s="165"/>
      <c r="HZ25" s="165"/>
      <c r="IA25" s="165"/>
      <c r="IB25" s="165"/>
      <c r="IC25" s="165"/>
      <c r="ID25" s="165"/>
      <c r="IE25" s="165"/>
      <c r="IF25" s="165"/>
      <c r="IG25" s="165"/>
      <c r="IH25" s="165"/>
      <c r="II25" s="165"/>
      <c r="IJ25" s="165"/>
      <c r="IK25" s="165"/>
      <c r="IL25" s="165"/>
      <c r="IM25" s="165"/>
      <c r="IN25" s="165"/>
      <c r="IO25" s="165"/>
      <c r="IP25" s="165"/>
      <c r="IQ25" s="165"/>
      <c r="IR25" s="165"/>
      <c r="IS25" s="165"/>
      <c r="IT25" s="165"/>
      <c r="IU25" s="165"/>
      <c r="IV25" s="165"/>
    </row>
    <row r="26" spans="1:256" ht="15">
      <c r="A26" s="346" t="s">
        <v>37</v>
      </c>
      <c r="B26" s="328">
        <f t="shared" si="0"/>
        <v>0.8</v>
      </c>
      <c r="C26" s="195">
        <v>0.2</v>
      </c>
      <c r="D26" s="195">
        <v>0</v>
      </c>
      <c r="E26" s="195">
        <v>0</v>
      </c>
      <c r="F26" s="173">
        <f t="shared" si="4"/>
        <v>788.6021054578907</v>
      </c>
      <c r="G26" s="174">
        <f t="shared" si="1"/>
        <v>654.6143719825515</v>
      </c>
      <c r="H26" s="339">
        <f t="shared" si="2"/>
        <v>116.5295579980367</v>
      </c>
      <c r="I26" s="334">
        <f t="shared" si="3"/>
        <v>17.458175477302596</v>
      </c>
      <c r="J26" s="499"/>
      <c r="K26" s="159"/>
      <c r="L26" s="159"/>
      <c r="N26" s="162"/>
      <c r="O26" s="162"/>
      <c r="P26" s="162"/>
      <c r="Q26" s="162"/>
      <c r="R26" s="162"/>
      <c r="S26" s="162"/>
      <c r="T26" s="162"/>
      <c r="U26" s="162"/>
      <c r="V26" s="162"/>
      <c r="W26" s="162"/>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165"/>
      <c r="AV26" s="165"/>
      <c r="AW26" s="165"/>
      <c r="AX26" s="165"/>
      <c r="AY26" s="165"/>
      <c r="AZ26" s="165"/>
      <c r="BA26" s="165"/>
      <c r="BB26" s="165"/>
      <c r="BC26" s="165"/>
      <c r="BD26" s="165"/>
      <c r="BE26" s="165"/>
      <c r="BF26" s="165"/>
      <c r="BG26" s="165"/>
      <c r="BH26" s="165"/>
      <c r="BI26" s="165"/>
      <c r="BJ26" s="165"/>
      <c r="BK26" s="165"/>
      <c r="BL26" s="165"/>
      <c r="BM26" s="165"/>
      <c r="BN26" s="165"/>
      <c r="BO26" s="165"/>
      <c r="BP26" s="165"/>
      <c r="BQ26" s="165"/>
      <c r="BR26" s="165"/>
      <c r="BS26" s="165"/>
      <c r="BT26" s="165"/>
      <c r="BU26" s="165"/>
      <c r="BV26" s="165"/>
      <c r="BW26" s="165"/>
      <c r="BX26" s="165"/>
      <c r="BY26" s="165"/>
      <c r="BZ26" s="165"/>
      <c r="CA26" s="165"/>
      <c r="CB26" s="165"/>
      <c r="CC26" s="165"/>
      <c r="CD26" s="165"/>
      <c r="CE26" s="165"/>
      <c r="CF26" s="165"/>
      <c r="CG26" s="165"/>
      <c r="CH26" s="165"/>
      <c r="CI26" s="165"/>
      <c r="CJ26" s="165"/>
      <c r="CK26" s="165"/>
      <c r="CL26" s="165"/>
      <c r="CM26" s="165"/>
      <c r="CN26" s="165"/>
      <c r="CO26" s="165"/>
      <c r="CP26" s="165"/>
      <c r="CQ26" s="165"/>
      <c r="CR26" s="165"/>
      <c r="CS26" s="165"/>
      <c r="CT26" s="165"/>
      <c r="CU26" s="165"/>
      <c r="CV26" s="165"/>
      <c r="CW26" s="165"/>
      <c r="CX26" s="165"/>
      <c r="CY26" s="165"/>
      <c r="CZ26" s="165"/>
      <c r="DA26" s="165"/>
      <c r="DB26" s="165"/>
      <c r="DC26" s="165"/>
      <c r="DD26" s="165"/>
      <c r="DE26" s="165"/>
      <c r="DF26" s="165"/>
      <c r="DG26" s="165"/>
      <c r="DH26" s="165"/>
      <c r="DI26" s="165"/>
      <c r="DJ26" s="165"/>
      <c r="DK26" s="165"/>
      <c r="DL26" s="165"/>
      <c r="DM26" s="165"/>
      <c r="DN26" s="165"/>
      <c r="DO26" s="165"/>
      <c r="DP26" s="165"/>
      <c r="DQ26" s="165"/>
      <c r="DR26" s="165"/>
      <c r="DS26" s="165"/>
      <c r="DT26" s="165"/>
      <c r="DU26" s="165"/>
      <c r="DV26" s="165"/>
      <c r="DW26" s="165"/>
      <c r="DX26" s="165"/>
      <c r="DY26" s="165"/>
      <c r="DZ26" s="165"/>
      <c r="EA26" s="165"/>
      <c r="EB26" s="165"/>
      <c r="EC26" s="165"/>
      <c r="ED26" s="165"/>
      <c r="EE26" s="165"/>
      <c r="EF26" s="165"/>
      <c r="EG26" s="165"/>
      <c r="EH26" s="165"/>
      <c r="EI26" s="165"/>
      <c r="EJ26" s="165"/>
      <c r="EK26" s="165"/>
      <c r="EL26" s="165"/>
      <c r="EM26" s="165"/>
      <c r="EN26" s="165"/>
      <c r="EO26" s="165"/>
      <c r="EP26" s="165"/>
      <c r="EQ26" s="165"/>
      <c r="ER26" s="165"/>
      <c r="ES26" s="165"/>
      <c r="ET26" s="165"/>
      <c r="EU26" s="165"/>
      <c r="EV26" s="165"/>
      <c r="EW26" s="165"/>
      <c r="EX26" s="165"/>
      <c r="EY26" s="165"/>
      <c r="EZ26" s="165"/>
      <c r="FA26" s="165"/>
      <c r="FB26" s="165"/>
      <c r="FC26" s="165"/>
      <c r="FD26" s="165"/>
      <c r="FE26" s="165"/>
      <c r="FF26" s="165"/>
      <c r="FG26" s="165"/>
      <c r="FH26" s="165"/>
      <c r="FI26" s="165"/>
      <c r="FJ26" s="165"/>
      <c r="FK26" s="165"/>
      <c r="FL26" s="165"/>
      <c r="FM26" s="165"/>
      <c r="FN26" s="165"/>
      <c r="FO26" s="165"/>
      <c r="FP26" s="165"/>
      <c r="FQ26" s="165"/>
      <c r="FR26" s="165"/>
      <c r="FS26" s="165"/>
      <c r="FT26" s="165"/>
      <c r="FU26" s="165"/>
      <c r="FV26" s="165"/>
      <c r="FW26" s="165"/>
      <c r="FX26" s="165"/>
      <c r="FY26" s="165"/>
      <c r="FZ26" s="165"/>
      <c r="GA26" s="165"/>
      <c r="GB26" s="165"/>
      <c r="GC26" s="165"/>
      <c r="GD26" s="165"/>
      <c r="GE26" s="165"/>
      <c r="GF26" s="165"/>
      <c r="GG26" s="165"/>
      <c r="GH26" s="165"/>
      <c r="GI26" s="165"/>
      <c r="GJ26" s="165"/>
      <c r="GK26" s="165"/>
      <c r="GL26" s="165"/>
      <c r="GM26" s="165"/>
      <c r="GN26" s="165"/>
      <c r="GO26" s="165"/>
      <c r="GP26" s="165"/>
      <c r="GQ26" s="165"/>
      <c r="GR26" s="165"/>
      <c r="GS26" s="165"/>
      <c r="GT26" s="165"/>
      <c r="GU26" s="165"/>
      <c r="GV26" s="165"/>
      <c r="GW26" s="165"/>
      <c r="GX26" s="165"/>
      <c r="GY26" s="165"/>
      <c r="GZ26" s="165"/>
      <c r="HA26" s="165"/>
      <c r="HB26" s="165"/>
      <c r="HC26" s="165"/>
      <c r="HD26" s="165"/>
      <c r="HE26" s="165"/>
      <c r="HF26" s="165"/>
      <c r="HG26" s="165"/>
      <c r="HH26" s="165"/>
      <c r="HI26" s="165"/>
      <c r="HJ26" s="165"/>
      <c r="HK26" s="165"/>
      <c r="HL26" s="165"/>
      <c r="HM26" s="165"/>
      <c r="HN26" s="165"/>
      <c r="HO26" s="165"/>
      <c r="HP26" s="165"/>
      <c r="HQ26" s="165"/>
      <c r="HR26" s="165"/>
      <c r="HS26" s="165"/>
      <c r="HT26" s="165"/>
      <c r="HU26" s="165"/>
      <c r="HV26" s="165"/>
      <c r="HW26" s="165"/>
      <c r="HX26" s="165"/>
      <c r="HY26" s="165"/>
      <c r="HZ26" s="165"/>
      <c r="IA26" s="165"/>
      <c r="IB26" s="165"/>
      <c r="IC26" s="165"/>
      <c r="ID26" s="165"/>
      <c r="IE26" s="165"/>
      <c r="IF26" s="165"/>
      <c r="IG26" s="165"/>
      <c r="IH26" s="165"/>
      <c r="II26" s="165"/>
      <c r="IJ26" s="165"/>
      <c r="IK26" s="165"/>
      <c r="IL26" s="165"/>
      <c r="IM26" s="165"/>
      <c r="IN26" s="165"/>
      <c r="IO26" s="165"/>
      <c r="IP26" s="165"/>
      <c r="IQ26" s="165"/>
      <c r="IR26" s="165"/>
      <c r="IS26" s="165"/>
      <c r="IT26" s="165"/>
      <c r="IU26" s="165"/>
      <c r="IV26" s="165"/>
    </row>
    <row r="27" spans="1:256" ht="15">
      <c r="A27" s="346" t="s">
        <v>44</v>
      </c>
      <c r="B27" s="328">
        <f t="shared" si="0"/>
        <v>0.73</v>
      </c>
      <c r="C27" s="195">
        <v>0</v>
      </c>
      <c r="D27" s="195">
        <v>0</v>
      </c>
      <c r="E27" s="195">
        <v>0.27</v>
      </c>
      <c r="F27" s="173">
        <f t="shared" si="4"/>
        <v>721.4833237975257</v>
      </c>
      <c r="G27" s="174">
        <f t="shared" si="1"/>
        <v>598.1429493177649</v>
      </c>
      <c r="H27" s="339">
        <f t="shared" si="2"/>
        <v>107.40978935672221</v>
      </c>
      <c r="I27" s="334">
        <f t="shared" si="3"/>
        <v>15.930585123038618</v>
      </c>
      <c r="J27" s="499"/>
      <c r="K27" s="159"/>
      <c r="L27" s="159"/>
      <c r="N27" s="162"/>
      <c r="O27" s="162"/>
      <c r="P27" s="162"/>
      <c r="Q27" s="162"/>
      <c r="R27" s="162"/>
      <c r="S27" s="162"/>
      <c r="T27" s="162"/>
      <c r="U27" s="162"/>
      <c r="V27" s="162"/>
      <c r="W27" s="162"/>
      <c r="X27" s="165"/>
      <c r="Y27" s="165"/>
      <c r="Z27" s="165"/>
      <c r="AA27" s="165"/>
      <c r="AB27" s="165"/>
      <c r="AC27" s="165"/>
      <c r="AD27" s="165"/>
      <c r="AE27" s="165"/>
      <c r="AF27" s="165"/>
      <c r="AG27" s="165"/>
      <c r="AH27" s="165"/>
      <c r="AI27" s="165"/>
      <c r="AJ27" s="165"/>
      <c r="AK27" s="165"/>
      <c r="AL27" s="165"/>
      <c r="AM27" s="165"/>
      <c r="AN27" s="165"/>
      <c r="AO27" s="165"/>
      <c r="AP27" s="165"/>
      <c r="AQ27" s="165"/>
      <c r="AR27" s="165"/>
      <c r="AS27" s="165"/>
      <c r="AT27" s="165"/>
      <c r="AU27" s="165"/>
      <c r="AV27" s="165"/>
      <c r="AW27" s="165"/>
      <c r="AX27" s="165"/>
      <c r="AY27" s="165"/>
      <c r="AZ27" s="165"/>
      <c r="BA27" s="165"/>
      <c r="BB27" s="165"/>
      <c r="BC27" s="165"/>
      <c r="BD27" s="165"/>
      <c r="BE27" s="165"/>
      <c r="BF27" s="165"/>
      <c r="BG27" s="165"/>
      <c r="BH27" s="165"/>
      <c r="BI27" s="165"/>
      <c r="BJ27" s="165"/>
      <c r="BK27" s="165"/>
      <c r="BL27" s="165"/>
      <c r="BM27" s="165"/>
      <c r="BN27" s="165"/>
      <c r="BO27" s="165"/>
      <c r="BP27" s="165"/>
      <c r="BQ27" s="165"/>
      <c r="BR27" s="165"/>
      <c r="BS27" s="165"/>
      <c r="BT27" s="165"/>
      <c r="BU27" s="165"/>
      <c r="BV27" s="165"/>
      <c r="BW27" s="165"/>
      <c r="BX27" s="165"/>
      <c r="BY27" s="165"/>
      <c r="BZ27" s="165"/>
      <c r="CA27" s="165"/>
      <c r="CB27" s="165"/>
      <c r="CC27" s="165"/>
      <c r="CD27" s="165"/>
      <c r="CE27" s="165"/>
      <c r="CF27" s="165"/>
      <c r="CG27" s="165"/>
      <c r="CH27" s="165"/>
      <c r="CI27" s="165"/>
      <c r="CJ27" s="165"/>
      <c r="CK27" s="165"/>
      <c r="CL27" s="165"/>
      <c r="CM27" s="165"/>
      <c r="CN27" s="165"/>
      <c r="CO27" s="165"/>
      <c r="CP27" s="165"/>
      <c r="CQ27" s="165"/>
      <c r="CR27" s="165"/>
      <c r="CS27" s="165"/>
      <c r="CT27" s="165"/>
      <c r="CU27" s="165"/>
      <c r="CV27" s="165"/>
      <c r="CW27" s="165"/>
      <c r="CX27" s="165"/>
      <c r="CY27" s="165"/>
      <c r="CZ27" s="165"/>
      <c r="DA27" s="165"/>
      <c r="DB27" s="165"/>
      <c r="DC27" s="165"/>
      <c r="DD27" s="165"/>
      <c r="DE27" s="165"/>
      <c r="DF27" s="165"/>
      <c r="DG27" s="165"/>
      <c r="DH27" s="165"/>
      <c r="DI27" s="165"/>
      <c r="DJ27" s="165"/>
      <c r="DK27" s="165"/>
      <c r="DL27" s="165"/>
      <c r="DM27" s="165"/>
      <c r="DN27" s="165"/>
      <c r="DO27" s="165"/>
      <c r="DP27" s="165"/>
      <c r="DQ27" s="165"/>
      <c r="DR27" s="165"/>
      <c r="DS27" s="165"/>
      <c r="DT27" s="165"/>
      <c r="DU27" s="165"/>
      <c r="DV27" s="165"/>
      <c r="DW27" s="165"/>
      <c r="DX27" s="165"/>
      <c r="DY27" s="165"/>
      <c r="DZ27" s="165"/>
      <c r="EA27" s="165"/>
      <c r="EB27" s="165"/>
      <c r="EC27" s="165"/>
      <c r="ED27" s="165"/>
      <c r="EE27" s="165"/>
      <c r="EF27" s="165"/>
      <c r="EG27" s="165"/>
      <c r="EH27" s="165"/>
      <c r="EI27" s="165"/>
      <c r="EJ27" s="165"/>
      <c r="EK27" s="165"/>
      <c r="EL27" s="165"/>
      <c r="EM27" s="165"/>
      <c r="EN27" s="165"/>
      <c r="EO27" s="165"/>
      <c r="EP27" s="165"/>
      <c r="EQ27" s="165"/>
      <c r="ER27" s="165"/>
      <c r="ES27" s="165"/>
      <c r="ET27" s="165"/>
      <c r="EU27" s="165"/>
      <c r="EV27" s="165"/>
      <c r="EW27" s="165"/>
      <c r="EX27" s="165"/>
      <c r="EY27" s="165"/>
      <c r="EZ27" s="165"/>
      <c r="FA27" s="165"/>
      <c r="FB27" s="165"/>
      <c r="FC27" s="165"/>
      <c r="FD27" s="165"/>
      <c r="FE27" s="165"/>
      <c r="FF27" s="165"/>
      <c r="FG27" s="165"/>
      <c r="FH27" s="165"/>
      <c r="FI27" s="165"/>
      <c r="FJ27" s="165"/>
      <c r="FK27" s="165"/>
      <c r="FL27" s="165"/>
      <c r="FM27" s="165"/>
      <c r="FN27" s="165"/>
      <c r="FO27" s="165"/>
      <c r="FP27" s="165"/>
      <c r="FQ27" s="165"/>
      <c r="FR27" s="165"/>
      <c r="FS27" s="165"/>
      <c r="FT27" s="165"/>
      <c r="FU27" s="165"/>
      <c r="FV27" s="165"/>
      <c r="FW27" s="165"/>
      <c r="FX27" s="165"/>
      <c r="FY27" s="165"/>
      <c r="FZ27" s="165"/>
      <c r="GA27" s="165"/>
      <c r="GB27" s="165"/>
      <c r="GC27" s="165"/>
      <c r="GD27" s="165"/>
      <c r="GE27" s="165"/>
      <c r="GF27" s="165"/>
      <c r="GG27" s="165"/>
      <c r="GH27" s="165"/>
      <c r="GI27" s="165"/>
      <c r="GJ27" s="165"/>
      <c r="GK27" s="165"/>
      <c r="GL27" s="165"/>
      <c r="GM27" s="165"/>
      <c r="GN27" s="165"/>
      <c r="GO27" s="165"/>
      <c r="GP27" s="165"/>
      <c r="GQ27" s="165"/>
      <c r="GR27" s="165"/>
      <c r="GS27" s="165"/>
      <c r="GT27" s="165"/>
      <c r="GU27" s="165"/>
      <c r="GV27" s="165"/>
      <c r="GW27" s="165"/>
      <c r="GX27" s="165"/>
      <c r="GY27" s="165"/>
      <c r="GZ27" s="165"/>
      <c r="HA27" s="165"/>
      <c r="HB27" s="165"/>
      <c r="HC27" s="165"/>
      <c r="HD27" s="165"/>
      <c r="HE27" s="165"/>
      <c r="HF27" s="165"/>
      <c r="HG27" s="165"/>
      <c r="HH27" s="165"/>
      <c r="HI27" s="165"/>
      <c r="HJ27" s="165"/>
      <c r="HK27" s="165"/>
      <c r="HL27" s="165"/>
      <c r="HM27" s="165"/>
      <c r="HN27" s="165"/>
      <c r="HO27" s="165"/>
      <c r="HP27" s="165"/>
      <c r="HQ27" s="165"/>
      <c r="HR27" s="165"/>
      <c r="HS27" s="165"/>
      <c r="HT27" s="165"/>
      <c r="HU27" s="165"/>
      <c r="HV27" s="165"/>
      <c r="HW27" s="165"/>
      <c r="HX27" s="165"/>
      <c r="HY27" s="165"/>
      <c r="HZ27" s="165"/>
      <c r="IA27" s="165"/>
      <c r="IB27" s="165"/>
      <c r="IC27" s="165"/>
      <c r="ID27" s="165"/>
      <c r="IE27" s="165"/>
      <c r="IF27" s="165"/>
      <c r="IG27" s="165"/>
      <c r="IH27" s="165"/>
      <c r="II27" s="165"/>
      <c r="IJ27" s="165"/>
      <c r="IK27" s="165"/>
      <c r="IL27" s="165"/>
      <c r="IM27" s="165"/>
      <c r="IN27" s="165"/>
      <c r="IO27" s="165"/>
      <c r="IP27" s="165"/>
      <c r="IQ27" s="165"/>
      <c r="IR27" s="165"/>
      <c r="IS27" s="165"/>
      <c r="IT27" s="165"/>
      <c r="IU27" s="165"/>
      <c r="IV27" s="165"/>
    </row>
    <row r="28" spans="1:256" ht="15">
      <c r="A28" s="346" t="s">
        <v>36</v>
      </c>
      <c r="B28" s="328">
        <f t="shared" si="0"/>
        <v>0.7</v>
      </c>
      <c r="C28" s="195">
        <v>0</v>
      </c>
      <c r="D28" s="195">
        <v>0.3</v>
      </c>
      <c r="E28" s="195">
        <v>0</v>
      </c>
      <c r="F28" s="173">
        <f t="shared" si="4"/>
        <v>728.3294207342149</v>
      </c>
      <c r="G28" s="174">
        <f t="shared" si="1"/>
        <v>588.6818760544404</v>
      </c>
      <c r="H28" s="339">
        <f t="shared" si="2"/>
        <v>124.3716411371347</v>
      </c>
      <c r="I28" s="334">
        <f t="shared" si="3"/>
        <v>15.27590354263977</v>
      </c>
      <c r="J28" s="499"/>
      <c r="K28" s="159"/>
      <c r="L28" s="159"/>
      <c r="N28" s="162"/>
      <c r="O28" s="162"/>
      <c r="P28" s="162"/>
      <c r="Q28" s="162"/>
      <c r="R28" s="162"/>
      <c r="S28" s="162"/>
      <c r="T28" s="162"/>
      <c r="U28" s="162"/>
      <c r="V28" s="162"/>
      <c r="W28" s="162"/>
      <c r="X28" s="165"/>
      <c r="Y28" s="165"/>
      <c r="Z28" s="165"/>
      <c r="AA28" s="165"/>
      <c r="AB28" s="165"/>
      <c r="AC28" s="165"/>
      <c r="AD28" s="165"/>
      <c r="AE28" s="165"/>
      <c r="AF28" s="165"/>
      <c r="AG28" s="165"/>
      <c r="AH28" s="165"/>
      <c r="AI28" s="165"/>
      <c r="AJ28" s="165"/>
      <c r="AK28" s="165"/>
      <c r="AL28" s="165"/>
      <c r="AM28" s="165"/>
      <c r="AN28" s="165"/>
      <c r="AO28" s="165"/>
      <c r="AP28" s="165"/>
      <c r="AQ28" s="165"/>
      <c r="AR28" s="165"/>
      <c r="AS28" s="165"/>
      <c r="AT28" s="165"/>
      <c r="AU28" s="165"/>
      <c r="AV28" s="165"/>
      <c r="AW28" s="165"/>
      <c r="AX28" s="165"/>
      <c r="AY28" s="165"/>
      <c r="AZ28" s="165"/>
      <c r="BA28" s="165"/>
      <c r="BB28" s="165"/>
      <c r="BC28" s="165"/>
      <c r="BD28" s="165"/>
      <c r="BE28" s="165"/>
      <c r="BF28" s="165"/>
      <c r="BG28" s="165"/>
      <c r="BH28" s="165"/>
      <c r="BI28" s="165"/>
      <c r="BJ28" s="165"/>
      <c r="BK28" s="165"/>
      <c r="BL28" s="165"/>
      <c r="BM28" s="165"/>
      <c r="BN28" s="165"/>
      <c r="BO28" s="165"/>
      <c r="BP28" s="165"/>
      <c r="BQ28" s="165"/>
      <c r="BR28" s="165"/>
      <c r="BS28" s="165"/>
      <c r="BT28" s="165"/>
      <c r="BU28" s="165"/>
      <c r="BV28" s="165"/>
      <c r="BW28" s="165"/>
      <c r="BX28" s="165"/>
      <c r="BY28" s="165"/>
      <c r="BZ28" s="165"/>
      <c r="CA28" s="165"/>
      <c r="CB28" s="165"/>
      <c r="CC28" s="165"/>
      <c r="CD28" s="165"/>
      <c r="CE28" s="165"/>
      <c r="CF28" s="165"/>
      <c r="CG28" s="165"/>
      <c r="CH28" s="165"/>
      <c r="CI28" s="165"/>
      <c r="CJ28" s="165"/>
      <c r="CK28" s="165"/>
      <c r="CL28" s="165"/>
      <c r="CM28" s="165"/>
      <c r="CN28" s="165"/>
      <c r="CO28" s="165"/>
      <c r="CP28" s="165"/>
      <c r="CQ28" s="165"/>
      <c r="CR28" s="165"/>
      <c r="CS28" s="165"/>
      <c r="CT28" s="165"/>
      <c r="CU28" s="165"/>
      <c r="CV28" s="165"/>
      <c r="CW28" s="165"/>
      <c r="CX28" s="165"/>
      <c r="CY28" s="165"/>
      <c r="CZ28" s="165"/>
      <c r="DA28" s="165"/>
      <c r="DB28" s="165"/>
      <c r="DC28" s="165"/>
      <c r="DD28" s="165"/>
      <c r="DE28" s="165"/>
      <c r="DF28" s="165"/>
      <c r="DG28" s="165"/>
      <c r="DH28" s="165"/>
      <c r="DI28" s="165"/>
      <c r="DJ28" s="165"/>
      <c r="DK28" s="165"/>
      <c r="DL28" s="165"/>
      <c r="DM28" s="165"/>
      <c r="DN28" s="165"/>
      <c r="DO28" s="165"/>
      <c r="DP28" s="165"/>
      <c r="DQ28" s="165"/>
      <c r="DR28" s="165"/>
      <c r="DS28" s="165"/>
      <c r="DT28" s="165"/>
      <c r="DU28" s="165"/>
      <c r="DV28" s="165"/>
      <c r="DW28" s="165"/>
      <c r="DX28" s="165"/>
      <c r="DY28" s="165"/>
      <c r="DZ28" s="165"/>
      <c r="EA28" s="165"/>
      <c r="EB28" s="165"/>
      <c r="EC28" s="165"/>
      <c r="ED28" s="165"/>
      <c r="EE28" s="165"/>
      <c r="EF28" s="165"/>
      <c r="EG28" s="165"/>
      <c r="EH28" s="165"/>
      <c r="EI28" s="165"/>
      <c r="EJ28" s="165"/>
      <c r="EK28" s="165"/>
      <c r="EL28" s="165"/>
      <c r="EM28" s="165"/>
      <c r="EN28" s="165"/>
      <c r="EO28" s="165"/>
      <c r="EP28" s="165"/>
      <c r="EQ28" s="165"/>
      <c r="ER28" s="165"/>
      <c r="ES28" s="165"/>
      <c r="ET28" s="165"/>
      <c r="EU28" s="165"/>
      <c r="EV28" s="165"/>
      <c r="EW28" s="165"/>
      <c r="EX28" s="165"/>
      <c r="EY28" s="165"/>
      <c r="EZ28" s="165"/>
      <c r="FA28" s="165"/>
      <c r="FB28" s="165"/>
      <c r="FC28" s="165"/>
      <c r="FD28" s="165"/>
      <c r="FE28" s="165"/>
      <c r="FF28" s="165"/>
      <c r="FG28" s="165"/>
      <c r="FH28" s="165"/>
      <c r="FI28" s="165"/>
      <c r="FJ28" s="165"/>
      <c r="FK28" s="165"/>
      <c r="FL28" s="165"/>
      <c r="FM28" s="165"/>
      <c r="FN28" s="165"/>
      <c r="FO28" s="165"/>
      <c r="FP28" s="165"/>
      <c r="FQ28" s="165"/>
      <c r="FR28" s="165"/>
      <c r="FS28" s="165"/>
      <c r="FT28" s="165"/>
      <c r="FU28" s="165"/>
      <c r="FV28" s="165"/>
      <c r="FW28" s="165"/>
      <c r="FX28" s="165"/>
      <c r="FY28" s="165"/>
      <c r="FZ28" s="165"/>
      <c r="GA28" s="165"/>
      <c r="GB28" s="165"/>
      <c r="GC28" s="165"/>
      <c r="GD28" s="165"/>
      <c r="GE28" s="165"/>
      <c r="GF28" s="165"/>
      <c r="GG28" s="165"/>
      <c r="GH28" s="165"/>
      <c r="GI28" s="165"/>
      <c r="GJ28" s="165"/>
      <c r="GK28" s="165"/>
      <c r="GL28" s="165"/>
      <c r="GM28" s="165"/>
      <c r="GN28" s="165"/>
      <c r="GO28" s="165"/>
      <c r="GP28" s="165"/>
      <c r="GQ28" s="165"/>
      <c r="GR28" s="165"/>
      <c r="GS28" s="165"/>
      <c r="GT28" s="165"/>
      <c r="GU28" s="165"/>
      <c r="GV28" s="165"/>
      <c r="GW28" s="165"/>
      <c r="GX28" s="165"/>
      <c r="GY28" s="165"/>
      <c r="GZ28" s="165"/>
      <c r="HA28" s="165"/>
      <c r="HB28" s="165"/>
      <c r="HC28" s="165"/>
      <c r="HD28" s="165"/>
      <c r="HE28" s="165"/>
      <c r="HF28" s="165"/>
      <c r="HG28" s="165"/>
      <c r="HH28" s="165"/>
      <c r="HI28" s="165"/>
      <c r="HJ28" s="165"/>
      <c r="HK28" s="165"/>
      <c r="HL28" s="165"/>
      <c r="HM28" s="165"/>
      <c r="HN28" s="165"/>
      <c r="HO28" s="165"/>
      <c r="HP28" s="165"/>
      <c r="HQ28" s="165"/>
      <c r="HR28" s="165"/>
      <c r="HS28" s="165"/>
      <c r="HT28" s="165"/>
      <c r="HU28" s="165"/>
      <c r="HV28" s="165"/>
      <c r="HW28" s="165"/>
      <c r="HX28" s="165"/>
      <c r="HY28" s="165"/>
      <c r="HZ28" s="165"/>
      <c r="IA28" s="165"/>
      <c r="IB28" s="165"/>
      <c r="IC28" s="165"/>
      <c r="ID28" s="165"/>
      <c r="IE28" s="165"/>
      <c r="IF28" s="165"/>
      <c r="IG28" s="165"/>
      <c r="IH28" s="165"/>
      <c r="II28" s="165"/>
      <c r="IJ28" s="165"/>
      <c r="IK28" s="165"/>
      <c r="IL28" s="165"/>
      <c r="IM28" s="165"/>
      <c r="IN28" s="165"/>
      <c r="IO28" s="165"/>
      <c r="IP28" s="165"/>
      <c r="IQ28" s="165"/>
      <c r="IR28" s="165"/>
      <c r="IS28" s="165"/>
      <c r="IT28" s="165"/>
      <c r="IU28" s="165"/>
      <c r="IV28" s="165"/>
    </row>
    <row r="29" spans="1:256" ht="15">
      <c r="A29" s="346" t="s">
        <v>38</v>
      </c>
      <c r="B29" s="328">
        <f t="shared" si="0"/>
        <v>0.7</v>
      </c>
      <c r="C29" s="195">
        <v>0.3</v>
      </c>
      <c r="D29" s="195">
        <v>0</v>
      </c>
      <c r="E29" s="195">
        <v>0</v>
      </c>
      <c r="F29" s="173">
        <f t="shared" si="4"/>
        <v>690.2159501063388</v>
      </c>
      <c r="G29" s="174">
        <f t="shared" si="1"/>
        <v>572.7894009068648</v>
      </c>
      <c r="H29" s="339">
        <f t="shared" si="2"/>
        <v>102.15064565683433</v>
      </c>
      <c r="I29" s="334">
        <f t="shared" si="3"/>
        <v>15.27590354263977</v>
      </c>
      <c r="J29" s="499"/>
      <c r="K29" s="159"/>
      <c r="L29" s="159"/>
      <c r="N29" s="162"/>
      <c r="O29" s="162"/>
      <c r="P29" s="162"/>
      <c r="Q29" s="162"/>
      <c r="R29" s="162"/>
      <c r="S29" s="162"/>
      <c r="T29" s="162"/>
      <c r="U29" s="162"/>
      <c r="V29" s="162"/>
      <c r="W29" s="162"/>
      <c r="X29" s="165"/>
      <c r="Y29" s="165"/>
      <c r="Z29" s="165"/>
      <c r="AA29" s="165"/>
      <c r="AB29" s="165"/>
      <c r="AC29" s="165"/>
      <c r="AD29" s="165"/>
      <c r="AE29" s="165"/>
      <c r="AF29" s="165"/>
      <c r="AG29" s="165"/>
      <c r="AH29" s="165"/>
      <c r="AI29" s="165"/>
      <c r="AJ29" s="165"/>
      <c r="AK29" s="165"/>
      <c r="AL29" s="165"/>
      <c r="AM29" s="165"/>
      <c r="AN29" s="165"/>
      <c r="AO29" s="165"/>
      <c r="AP29" s="165"/>
      <c r="AQ29" s="165"/>
      <c r="AR29" s="165"/>
      <c r="AS29" s="165"/>
      <c r="AT29" s="165"/>
      <c r="AU29" s="165"/>
      <c r="AV29" s="165"/>
      <c r="AW29" s="165"/>
      <c r="AX29" s="165"/>
      <c r="AY29" s="165"/>
      <c r="AZ29" s="165"/>
      <c r="BA29" s="165"/>
      <c r="BB29" s="165"/>
      <c r="BC29" s="165"/>
      <c r="BD29" s="165"/>
      <c r="BE29" s="165"/>
      <c r="BF29" s="165"/>
      <c r="BG29" s="165"/>
      <c r="BH29" s="165"/>
      <c r="BI29" s="165"/>
      <c r="BJ29" s="165"/>
      <c r="BK29" s="165"/>
      <c r="BL29" s="165"/>
      <c r="BM29" s="165"/>
      <c r="BN29" s="165"/>
      <c r="BO29" s="165"/>
      <c r="BP29" s="165"/>
      <c r="BQ29" s="165"/>
      <c r="BR29" s="165"/>
      <c r="BS29" s="165"/>
      <c r="BT29" s="165"/>
      <c r="BU29" s="165"/>
      <c r="BV29" s="165"/>
      <c r="BW29" s="165"/>
      <c r="BX29" s="165"/>
      <c r="BY29" s="165"/>
      <c r="BZ29" s="165"/>
      <c r="CA29" s="165"/>
      <c r="CB29" s="165"/>
      <c r="CC29" s="165"/>
      <c r="CD29" s="165"/>
      <c r="CE29" s="165"/>
      <c r="CF29" s="165"/>
      <c r="CG29" s="165"/>
      <c r="CH29" s="165"/>
      <c r="CI29" s="165"/>
      <c r="CJ29" s="165"/>
      <c r="CK29" s="165"/>
      <c r="CL29" s="165"/>
      <c r="CM29" s="165"/>
      <c r="CN29" s="165"/>
      <c r="CO29" s="165"/>
      <c r="CP29" s="165"/>
      <c r="CQ29" s="165"/>
      <c r="CR29" s="165"/>
      <c r="CS29" s="165"/>
      <c r="CT29" s="165"/>
      <c r="CU29" s="165"/>
      <c r="CV29" s="165"/>
      <c r="CW29" s="165"/>
      <c r="CX29" s="165"/>
      <c r="CY29" s="165"/>
      <c r="CZ29" s="165"/>
      <c r="DA29" s="165"/>
      <c r="DB29" s="165"/>
      <c r="DC29" s="165"/>
      <c r="DD29" s="165"/>
      <c r="DE29" s="165"/>
      <c r="DF29" s="165"/>
      <c r="DG29" s="165"/>
      <c r="DH29" s="165"/>
      <c r="DI29" s="165"/>
      <c r="DJ29" s="165"/>
      <c r="DK29" s="165"/>
      <c r="DL29" s="165"/>
      <c r="DM29" s="165"/>
      <c r="DN29" s="165"/>
      <c r="DO29" s="165"/>
      <c r="DP29" s="165"/>
      <c r="DQ29" s="165"/>
      <c r="DR29" s="165"/>
      <c r="DS29" s="165"/>
      <c r="DT29" s="165"/>
      <c r="DU29" s="165"/>
      <c r="DV29" s="165"/>
      <c r="DW29" s="165"/>
      <c r="DX29" s="165"/>
      <c r="DY29" s="165"/>
      <c r="DZ29" s="165"/>
      <c r="EA29" s="165"/>
      <c r="EB29" s="165"/>
      <c r="EC29" s="165"/>
      <c r="ED29" s="165"/>
      <c r="EE29" s="165"/>
      <c r="EF29" s="165"/>
      <c r="EG29" s="165"/>
      <c r="EH29" s="165"/>
      <c r="EI29" s="165"/>
      <c r="EJ29" s="165"/>
      <c r="EK29" s="165"/>
      <c r="EL29" s="165"/>
      <c r="EM29" s="165"/>
      <c r="EN29" s="165"/>
      <c r="EO29" s="165"/>
      <c r="EP29" s="165"/>
      <c r="EQ29" s="165"/>
      <c r="ER29" s="165"/>
      <c r="ES29" s="165"/>
      <c r="ET29" s="165"/>
      <c r="EU29" s="165"/>
      <c r="EV29" s="165"/>
      <c r="EW29" s="165"/>
      <c r="EX29" s="165"/>
      <c r="EY29" s="165"/>
      <c r="EZ29" s="165"/>
      <c r="FA29" s="165"/>
      <c r="FB29" s="165"/>
      <c r="FC29" s="165"/>
      <c r="FD29" s="165"/>
      <c r="FE29" s="165"/>
      <c r="FF29" s="165"/>
      <c r="FG29" s="165"/>
      <c r="FH29" s="165"/>
      <c r="FI29" s="165"/>
      <c r="FJ29" s="165"/>
      <c r="FK29" s="165"/>
      <c r="FL29" s="165"/>
      <c r="FM29" s="165"/>
      <c r="FN29" s="165"/>
      <c r="FO29" s="165"/>
      <c r="FP29" s="165"/>
      <c r="FQ29" s="165"/>
      <c r="FR29" s="165"/>
      <c r="FS29" s="165"/>
      <c r="FT29" s="165"/>
      <c r="FU29" s="165"/>
      <c r="FV29" s="165"/>
      <c r="FW29" s="165"/>
      <c r="FX29" s="165"/>
      <c r="FY29" s="165"/>
      <c r="FZ29" s="165"/>
      <c r="GA29" s="165"/>
      <c r="GB29" s="165"/>
      <c r="GC29" s="165"/>
      <c r="GD29" s="165"/>
      <c r="GE29" s="165"/>
      <c r="GF29" s="165"/>
      <c r="GG29" s="165"/>
      <c r="GH29" s="165"/>
      <c r="GI29" s="165"/>
      <c r="GJ29" s="165"/>
      <c r="GK29" s="165"/>
      <c r="GL29" s="165"/>
      <c r="GM29" s="165"/>
      <c r="GN29" s="165"/>
      <c r="GO29" s="165"/>
      <c r="GP29" s="165"/>
      <c r="GQ29" s="165"/>
      <c r="GR29" s="165"/>
      <c r="GS29" s="165"/>
      <c r="GT29" s="165"/>
      <c r="GU29" s="165"/>
      <c r="GV29" s="165"/>
      <c r="GW29" s="165"/>
      <c r="GX29" s="165"/>
      <c r="GY29" s="165"/>
      <c r="GZ29" s="165"/>
      <c r="HA29" s="165"/>
      <c r="HB29" s="165"/>
      <c r="HC29" s="165"/>
      <c r="HD29" s="165"/>
      <c r="HE29" s="165"/>
      <c r="HF29" s="165"/>
      <c r="HG29" s="165"/>
      <c r="HH29" s="165"/>
      <c r="HI29" s="165"/>
      <c r="HJ29" s="165"/>
      <c r="HK29" s="165"/>
      <c r="HL29" s="165"/>
      <c r="HM29" s="165"/>
      <c r="HN29" s="165"/>
      <c r="HO29" s="165"/>
      <c r="HP29" s="165"/>
      <c r="HQ29" s="165"/>
      <c r="HR29" s="165"/>
      <c r="HS29" s="165"/>
      <c r="HT29" s="165"/>
      <c r="HU29" s="165"/>
      <c r="HV29" s="165"/>
      <c r="HW29" s="165"/>
      <c r="HX29" s="165"/>
      <c r="HY29" s="165"/>
      <c r="HZ29" s="165"/>
      <c r="IA29" s="165"/>
      <c r="IB29" s="165"/>
      <c r="IC29" s="165"/>
      <c r="ID29" s="165"/>
      <c r="IE29" s="165"/>
      <c r="IF29" s="165"/>
      <c r="IG29" s="165"/>
      <c r="IH29" s="165"/>
      <c r="II29" s="165"/>
      <c r="IJ29" s="165"/>
      <c r="IK29" s="165"/>
      <c r="IL29" s="165"/>
      <c r="IM29" s="165"/>
      <c r="IN29" s="165"/>
      <c r="IO29" s="165"/>
      <c r="IP29" s="165"/>
      <c r="IQ29" s="165"/>
      <c r="IR29" s="165"/>
      <c r="IS29" s="165"/>
      <c r="IT29" s="165"/>
      <c r="IU29" s="165"/>
      <c r="IV29" s="165"/>
    </row>
    <row r="30" spans="1:256" ht="15">
      <c r="A30" s="346" t="s">
        <v>19</v>
      </c>
      <c r="B30" s="328">
        <f t="shared" si="0"/>
        <v>0.5</v>
      </c>
      <c r="C30" s="195">
        <v>0</v>
      </c>
      <c r="D30" s="195">
        <v>0.5</v>
      </c>
      <c r="E30" s="195">
        <v>0</v>
      </c>
      <c r="F30" s="173">
        <f t="shared" si="4"/>
        <v>556.9660904496953</v>
      </c>
      <c r="G30" s="174">
        <f t="shared" si="1"/>
        <v>435.62691733478437</v>
      </c>
      <c r="H30" s="339">
        <f t="shared" si="2"/>
        <v>110.42781344159691</v>
      </c>
      <c r="I30" s="334">
        <f t="shared" si="3"/>
        <v>10.911359673314122</v>
      </c>
      <c r="J30" s="499"/>
      <c r="K30" s="159"/>
      <c r="L30" s="159"/>
      <c r="N30" s="162"/>
      <c r="O30" s="162"/>
      <c r="P30" s="162"/>
      <c r="Q30" s="162"/>
      <c r="R30" s="162"/>
      <c r="S30" s="162"/>
      <c r="T30" s="162"/>
      <c r="U30" s="162"/>
      <c r="V30" s="162"/>
      <c r="W30" s="162"/>
      <c r="X30" s="165"/>
      <c r="Y30" s="165"/>
      <c r="Z30" s="165"/>
      <c r="AA30" s="165"/>
      <c r="AB30" s="165"/>
      <c r="AC30" s="165"/>
      <c r="AD30" s="165"/>
      <c r="AE30" s="165"/>
      <c r="AF30" s="165"/>
      <c r="AG30" s="165"/>
      <c r="AH30" s="165"/>
      <c r="AI30" s="165"/>
      <c r="AJ30" s="165"/>
      <c r="AK30" s="165"/>
      <c r="AL30" s="165"/>
      <c r="AM30" s="165"/>
      <c r="AN30" s="165"/>
      <c r="AO30" s="165"/>
      <c r="AP30" s="165"/>
      <c r="AQ30" s="165"/>
      <c r="AR30" s="165"/>
      <c r="AS30" s="165"/>
      <c r="AT30" s="165"/>
      <c r="AU30" s="165"/>
      <c r="AV30" s="165"/>
      <c r="AW30" s="165"/>
      <c r="AX30" s="165"/>
      <c r="AY30" s="165"/>
      <c r="AZ30" s="165"/>
      <c r="BA30" s="165"/>
      <c r="BB30" s="165"/>
      <c r="BC30" s="165"/>
      <c r="BD30" s="165"/>
      <c r="BE30" s="165"/>
      <c r="BF30" s="165"/>
      <c r="BG30" s="165"/>
      <c r="BH30" s="165"/>
      <c r="BI30" s="165"/>
      <c r="BJ30" s="165"/>
      <c r="BK30" s="165"/>
      <c r="BL30" s="165"/>
      <c r="BM30" s="165"/>
      <c r="BN30" s="165"/>
      <c r="BO30" s="165"/>
      <c r="BP30" s="165"/>
      <c r="BQ30" s="165"/>
      <c r="BR30" s="165"/>
      <c r="BS30" s="165"/>
      <c r="BT30" s="165"/>
      <c r="BU30" s="165"/>
      <c r="BV30" s="165"/>
      <c r="BW30" s="165"/>
      <c r="BX30" s="165"/>
      <c r="BY30" s="165"/>
      <c r="BZ30" s="165"/>
      <c r="CA30" s="165"/>
      <c r="CB30" s="165"/>
      <c r="CC30" s="165"/>
      <c r="CD30" s="165"/>
      <c r="CE30" s="165"/>
      <c r="CF30" s="165"/>
      <c r="CG30" s="165"/>
      <c r="CH30" s="165"/>
      <c r="CI30" s="165"/>
      <c r="CJ30" s="165"/>
      <c r="CK30" s="165"/>
      <c r="CL30" s="165"/>
      <c r="CM30" s="165"/>
      <c r="CN30" s="165"/>
      <c r="CO30" s="165"/>
      <c r="CP30" s="165"/>
      <c r="CQ30" s="165"/>
      <c r="CR30" s="165"/>
      <c r="CS30" s="165"/>
      <c r="CT30" s="165"/>
      <c r="CU30" s="165"/>
      <c r="CV30" s="165"/>
      <c r="CW30" s="165"/>
      <c r="CX30" s="165"/>
      <c r="CY30" s="165"/>
      <c r="CZ30" s="165"/>
      <c r="DA30" s="165"/>
      <c r="DB30" s="165"/>
      <c r="DC30" s="165"/>
      <c r="DD30" s="165"/>
      <c r="DE30" s="165"/>
      <c r="DF30" s="165"/>
      <c r="DG30" s="165"/>
      <c r="DH30" s="165"/>
      <c r="DI30" s="165"/>
      <c r="DJ30" s="165"/>
      <c r="DK30" s="165"/>
      <c r="DL30" s="165"/>
      <c r="DM30" s="165"/>
      <c r="DN30" s="165"/>
      <c r="DO30" s="165"/>
      <c r="DP30" s="165"/>
      <c r="DQ30" s="165"/>
      <c r="DR30" s="165"/>
      <c r="DS30" s="165"/>
      <c r="DT30" s="165"/>
      <c r="DU30" s="165"/>
      <c r="DV30" s="165"/>
      <c r="DW30" s="165"/>
      <c r="DX30" s="165"/>
      <c r="DY30" s="165"/>
      <c r="DZ30" s="165"/>
      <c r="EA30" s="165"/>
      <c r="EB30" s="165"/>
      <c r="EC30" s="165"/>
      <c r="ED30" s="165"/>
      <c r="EE30" s="165"/>
      <c r="EF30" s="165"/>
      <c r="EG30" s="165"/>
      <c r="EH30" s="165"/>
      <c r="EI30" s="165"/>
      <c r="EJ30" s="165"/>
      <c r="EK30" s="165"/>
      <c r="EL30" s="165"/>
      <c r="EM30" s="165"/>
      <c r="EN30" s="165"/>
      <c r="EO30" s="165"/>
      <c r="EP30" s="165"/>
      <c r="EQ30" s="165"/>
      <c r="ER30" s="165"/>
      <c r="ES30" s="165"/>
      <c r="ET30" s="165"/>
      <c r="EU30" s="165"/>
      <c r="EV30" s="165"/>
      <c r="EW30" s="165"/>
      <c r="EX30" s="165"/>
      <c r="EY30" s="165"/>
      <c r="EZ30" s="165"/>
      <c r="FA30" s="165"/>
      <c r="FB30" s="165"/>
      <c r="FC30" s="165"/>
      <c r="FD30" s="165"/>
      <c r="FE30" s="165"/>
      <c r="FF30" s="165"/>
      <c r="FG30" s="165"/>
      <c r="FH30" s="165"/>
      <c r="FI30" s="165"/>
      <c r="FJ30" s="165"/>
      <c r="FK30" s="165"/>
      <c r="FL30" s="165"/>
      <c r="FM30" s="165"/>
      <c r="FN30" s="165"/>
      <c r="FO30" s="165"/>
      <c r="FP30" s="165"/>
      <c r="FQ30" s="165"/>
      <c r="FR30" s="165"/>
      <c r="FS30" s="165"/>
      <c r="FT30" s="165"/>
      <c r="FU30" s="165"/>
      <c r="FV30" s="165"/>
      <c r="FW30" s="165"/>
      <c r="FX30" s="165"/>
      <c r="FY30" s="165"/>
      <c r="FZ30" s="165"/>
      <c r="GA30" s="165"/>
      <c r="GB30" s="165"/>
      <c r="GC30" s="165"/>
      <c r="GD30" s="165"/>
      <c r="GE30" s="165"/>
      <c r="GF30" s="165"/>
      <c r="GG30" s="165"/>
      <c r="GH30" s="165"/>
      <c r="GI30" s="165"/>
      <c r="GJ30" s="165"/>
      <c r="GK30" s="165"/>
      <c r="GL30" s="165"/>
      <c r="GM30" s="165"/>
      <c r="GN30" s="165"/>
      <c r="GO30" s="165"/>
      <c r="GP30" s="165"/>
      <c r="GQ30" s="165"/>
      <c r="GR30" s="165"/>
      <c r="GS30" s="165"/>
      <c r="GT30" s="165"/>
      <c r="GU30" s="165"/>
      <c r="GV30" s="165"/>
      <c r="GW30" s="165"/>
      <c r="GX30" s="165"/>
      <c r="GY30" s="165"/>
      <c r="GZ30" s="165"/>
      <c r="HA30" s="165"/>
      <c r="HB30" s="165"/>
      <c r="HC30" s="165"/>
      <c r="HD30" s="165"/>
      <c r="HE30" s="165"/>
      <c r="HF30" s="165"/>
      <c r="HG30" s="165"/>
      <c r="HH30" s="165"/>
      <c r="HI30" s="165"/>
      <c r="HJ30" s="165"/>
      <c r="HK30" s="165"/>
      <c r="HL30" s="165"/>
      <c r="HM30" s="165"/>
      <c r="HN30" s="165"/>
      <c r="HO30" s="165"/>
      <c r="HP30" s="165"/>
      <c r="HQ30" s="165"/>
      <c r="HR30" s="165"/>
      <c r="HS30" s="165"/>
      <c r="HT30" s="165"/>
      <c r="HU30" s="165"/>
      <c r="HV30" s="165"/>
      <c r="HW30" s="165"/>
      <c r="HX30" s="165"/>
      <c r="HY30" s="165"/>
      <c r="HZ30" s="165"/>
      <c r="IA30" s="165"/>
      <c r="IB30" s="165"/>
      <c r="IC30" s="165"/>
      <c r="ID30" s="165"/>
      <c r="IE30" s="165"/>
      <c r="IF30" s="165"/>
      <c r="IG30" s="165"/>
      <c r="IH30" s="165"/>
      <c r="II30" s="165"/>
      <c r="IJ30" s="165"/>
      <c r="IK30" s="165"/>
      <c r="IL30" s="165"/>
      <c r="IM30" s="165"/>
      <c r="IN30" s="165"/>
      <c r="IO30" s="165"/>
      <c r="IP30" s="165"/>
      <c r="IQ30" s="165"/>
      <c r="IR30" s="165"/>
      <c r="IS30" s="165"/>
      <c r="IT30" s="165"/>
      <c r="IU30" s="165"/>
      <c r="IV30" s="165"/>
    </row>
    <row r="31" spans="1:256" ht="15">
      <c r="A31" s="346" t="s">
        <v>40</v>
      </c>
      <c r="B31" s="328">
        <f>1-C31-D31-E31</f>
        <v>0.65</v>
      </c>
      <c r="C31" s="195">
        <v>0.35</v>
      </c>
      <c r="D31" s="195">
        <v>0</v>
      </c>
      <c r="E31" s="195">
        <v>0</v>
      </c>
      <c r="F31" s="173">
        <f t="shared" si="4"/>
        <v>641.022872430563</v>
      </c>
      <c r="G31" s="174">
        <f t="shared" si="1"/>
        <v>531.8769153690215</v>
      </c>
      <c r="H31" s="339">
        <f t="shared" si="2"/>
        <v>94.96118948623315</v>
      </c>
      <c r="I31" s="334">
        <f t="shared" si="3"/>
        <v>14.184767575308358</v>
      </c>
      <c r="J31" s="499"/>
      <c r="K31" s="159"/>
      <c r="L31" s="159"/>
      <c r="N31" s="162"/>
      <c r="O31" s="162"/>
      <c r="P31" s="162"/>
      <c r="Q31" s="162"/>
      <c r="R31" s="162"/>
      <c r="S31" s="162"/>
      <c r="T31" s="162"/>
      <c r="U31" s="162"/>
      <c r="V31" s="162"/>
      <c r="W31" s="162"/>
      <c r="X31" s="165"/>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165"/>
      <c r="AY31" s="165"/>
      <c r="AZ31" s="165"/>
      <c r="BA31" s="165"/>
      <c r="BB31" s="165"/>
      <c r="BC31" s="165"/>
      <c r="BD31" s="165"/>
      <c r="BE31" s="165"/>
      <c r="BF31" s="165"/>
      <c r="BG31" s="165"/>
      <c r="BH31" s="165"/>
      <c r="BI31" s="165"/>
      <c r="BJ31" s="165"/>
      <c r="BK31" s="165"/>
      <c r="BL31" s="165"/>
      <c r="BM31" s="165"/>
      <c r="BN31" s="165"/>
      <c r="BO31" s="165"/>
      <c r="BP31" s="165"/>
      <c r="BQ31" s="165"/>
      <c r="BR31" s="165"/>
      <c r="BS31" s="165"/>
      <c r="BT31" s="165"/>
      <c r="BU31" s="165"/>
      <c r="BV31" s="165"/>
      <c r="BW31" s="165"/>
      <c r="BX31" s="165"/>
      <c r="BY31" s="165"/>
      <c r="BZ31" s="165"/>
      <c r="CA31" s="165"/>
      <c r="CB31" s="165"/>
      <c r="CC31" s="165"/>
      <c r="CD31" s="165"/>
      <c r="CE31" s="165"/>
      <c r="CF31" s="165"/>
      <c r="CG31" s="165"/>
      <c r="CH31" s="165"/>
      <c r="CI31" s="165"/>
      <c r="CJ31" s="165"/>
      <c r="CK31" s="165"/>
      <c r="CL31" s="165"/>
      <c r="CM31" s="165"/>
      <c r="CN31" s="165"/>
      <c r="CO31" s="165"/>
      <c r="CP31" s="165"/>
      <c r="CQ31" s="165"/>
      <c r="CR31" s="165"/>
      <c r="CS31" s="165"/>
      <c r="CT31" s="165"/>
      <c r="CU31" s="165"/>
      <c r="CV31" s="165"/>
      <c r="CW31" s="165"/>
      <c r="CX31" s="165"/>
      <c r="CY31" s="165"/>
      <c r="CZ31" s="165"/>
      <c r="DA31" s="165"/>
      <c r="DB31" s="165"/>
      <c r="DC31" s="165"/>
      <c r="DD31" s="165"/>
      <c r="DE31" s="165"/>
      <c r="DF31" s="165"/>
      <c r="DG31" s="165"/>
      <c r="DH31" s="165"/>
      <c r="DI31" s="165"/>
      <c r="DJ31" s="165"/>
      <c r="DK31" s="165"/>
      <c r="DL31" s="165"/>
      <c r="DM31" s="165"/>
      <c r="DN31" s="165"/>
      <c r="DO31" s="165"/>
      <c r="DP31" s="165"/>
      <c r="DQ31" s="165"/>
      <c r="DR31" s="165"/>
      <c r="DS31" s="165"/>
      <c r="DT31" s="165"/>
      <c r="DU31" s="165"/>
      <c r="DV31" s="165"/>
      <c r="DW31" s="165"/>
      <c r="DX31" s="165"/>
      <c r="DY31" s="165"/>
      <c r="DZ31" s="165"/>
      <c r="EA31" s="165"/>
      <c r="EB31" s="165"/>
      <c r="EC31" s="165"/>
      <c r="ED31" s="165"/>
      <c r="EE31" s="165"/>
      <c r="EF31" s="165"/>
      <c r="EG31" s="165"/>
      <c r="EH31" s="165"/>
      <c r="EI31" s="165"/>
      <c r="EJ31" s="165"/>
      <c r="EK31" s="165"/>
      <c r="EL31" s="165"/>
      <c r="EM31" s="165"/>
      <c r="EN31" s="165"/>
      <c r="EO31" s="165"/>
      <c r="EP31" s="165"/>
      <c r="EQ31" s="165"/>
      <c r="ER31" s="165"/>
      <c r="ES31" s="165"/>
      <c r="ET31" s="165"/>
      <c r="EU31" s="165"/>
      <c r="EV31" s="165"/>
      <c r="EW31" s="165"/>
      <c r="EX31" s="165"/>
      <c r="EY31" s="165"/>
      <c r="EZ31" s="165"/>
      <c r="FA31" s="165"/>
      <c r="FB31" s="165"/>
      <c r="FC31" s="165"/>
      <c r="FD31" s="165"/>
      <c r="FE31" s="165"/>
      <c r="FF31" s="165"/>
      <c r="FG31" s="165"/>
      <c r="FH31" s="165"/>
      <c r="FI31" s="165"/>
      <c r="FJ31" s="165"/>
      <c r="FK31" s="165"/>
      <c r="FL31" s="165"/>
      <c r="FM31" s="165"/>
      <c r="FN31" s="165"/>
      <c r="FO31" s="165"/>
      <c r="FP31" s="165"/>
      <c r="FQ31" s="165"/>
      <c r="FR31" s="165"/>
      <c r="FS31" s="165"/>
      <c r="FT31" s="165"/>
      <c r="FU31" s="165"/>
      <c r="FV31" s="165"/>
      <c r="FW31" s="165"/>
      <c r="FX31" s="165"/>
      <c r="FY31" s="165"/>
      <c r="FZ31" s="165"/>
      <c r="GA31" s="165"/>
      <c r="GB31" s="165"/>
      <c r="GC31" s="165"/>
      <c r="GD31" s="165"/>
      <c r="GE31" s="165"/>
      <c r="GF31" s="165"/>
      <c r="GG31" s="165"/>
      <c r="GH31" s="165"/>
      <c r="GI31" s="165"/>
      <c r="GJ31" s="165"/>
      <c r="GK31" s="165"/>
      <c r="GL31" s="165"/>
      <c r="GM31" s="165"/>
      <c r="GN31" s="165"/>
      <c r="GO31" s="165"/>
      <c r="GP31" s="165"/>
      <c r="GQ31" s="165"/>
      <c r="GR31" s="165"/>
      <c r="GS31" s="165"/>
      <c r="GT31" s="165"/>
      <c r="GU31" s="165"/>
      <c r="GV31" s="165"/>
      <c r="GW31" s="165"/>
      <c r="GX31" s="165"/>
      <c r="GY31" s="165"/>
      <c r="GZ31" s="165"/>
      <c r="HA31" s="165"/>
      <c r="HB31" s="165"/>
      <c r="HC31" s="165"/>
      <c r="HD31" s="165"/>
      <c r="HE31" s="165"/>
      <c r="HF31" s="165"/>
      <c r="HG31" s="165"/>
      <c r="HH31" s="165"/>
      <c r="HI31" s="165"/>
      <c r="HJ31" s="165"/>
      <c r="HK31" s="165"/>
      <c r="HL31" s="165"/>
      <c r="HM31" s="165"/>
      <c r="HN31" s="165"/>
      <c r="HO31" s="165"/>
      <c r="HP31" s="165"/>
      <c r="HQ31" s="165"/>
      <c r="HR31" s="165"/>
      <c r="HS31" s="165"/>
      <c r="HT31" s="165"/>
      <c r="HU31" s="165"/>
      <c r="HV31" s="165"/>
      <c r="HW31" s="165"/>
      <c r="HX31" s="165"/>
      <c r="HY31" s="165"/>
      <c r="HZ31" s="165"/>
      <c r="IA31" s="165"/>
      <c r="IB31" s="165"/>
      <c r="IC31" s="165"/>
      <c r="ID31" s="165"/>
      <c r="IE31" s="165"/>
      <c r="IF31" s="165"/>
      <c r="IG31" s="165"/>
      <c r="IH31" s="165"/>
      <c r="II31" s="165"/>
      <c r="IJ31" s="165"/>
      <c r="IK31" s="165"/>
      <c r="IL31" s="165"/>
      <c r="IM31" s="165"/>
      <c r="IN31" s="165"/>
      <c r="IO31" s="165"/>
      <c r="IP31" s="165"/>
      <c r="IQ31" s="165"/>
      <c r="IR31" s="165"/>
      <c r="IS31" s="165"/>
      <c r="IT31" s="165"/>
      <c r="IU31" s="165"/>
      <c r="IV31" s="165"/>
    </row>
    <row r="32" spans="1:256" ht="15">
      <c r="A32" s="346" t="s">
        <v>54</v>
      </c>
      <c r="B32" s="328">
        <f t="shared" si="0"/>
        <v>0.5800000000000001</v>
      </c>
      <c r="C32" s="196">
        <v>0.42</v>
      </c>
      <c r="D32" s="196">
        <v>0</v>
      </c>
      <c r="E32" s="196">
        <v>0</v>
      </c>
      <c r="F32" s="179">
        <f t="shared" si="4"/>
        <v>572.152563684477</v>
      </c>
      <c r="G32" s="180">
        <f t="shared" si="1"/>
        <v>474.599435616041</v>
      </c>
      <c r="H32" s="340">
        <f t="shared" si="2"/>
        <v>84.89595084739152</v>
      </c>
      <c r="I32" s="335">
        <f t="shared" si="3"/>
        <v>12.657177221044384</v>
      </c>
      <c r="J32" s="499"/>
      <c r="K32" s="159"/>
      <c r="L32" s="159"/>
      <c r="N32" s="162"/>
      <c r="O32" s="162"/>
      <c r="P32" s="162"/>
      <c r="Q32" s="162"/>
      <c r="R32" s="162"/>
      <c r="S32" s="162"/>
      <c r="T32" s="162"/>
      <c r="U32" s="162"/>
      <c r="V32" s="162"/>
      <c r="W32" s="162"/>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5"/>
      <c r="BQ32" s="165"/>
      <c r="BR32" s="165"/>
      <c r="BS32" s="165"/>
      <c r="BT32" s="165"/>
      <c r="BU32" s="165"/>
      <c r="BV32" s="165"/>
      <c r="BW32" s="165"/>
      <c r="BX32" s="165"/>
      <c r="BY32" s="165"/>
      <c r="BZ32" s="165"/>
      <c r="CA32" s="165"/>
      <c r="CB32" s="165"/>
      <c r="CC32" s="165"/>
      <c r="CD32" s="165"/>
      <c r="CE32" s="165"/>
      <c r="CF32" s="165"/>
      <c r="CG32" s="165"/>
      <c r="CH32" s="165"/>
      <c r="CI32" s="165"/>
      <c r="CJ32" s="165"/>
      <c r="CK32" s="165"/>
      <c r="CL32" s="165"/>
      <c r="CM32" s="165"/>
      <c r="CN32" s="165"/>
      <c r="CO32" s="165"/>
      <c r="CP32" s="165"/>
      <c r="CQ32" s="165"/>
      <c r="CR32" s="165"/>
      <c r="CS32" s="165"/>
      <c r="CT32" s="165"/>
      <c r="CU32" s="165"/>
      <c r="CV32" s="165"/>
      <c r="CW32" s="165"/>
      <c r="CX32" s="165"/>
      <c r="CY32" s="165"/>
      <c r="CZ32" s="165"/>
      <c r="DA32" s="165"/>
      <c r="DB32" s="165"/>
      <c r="DC32" s="165"/>
      <c r="DD32" s="165"/>
      <c r="DE32" s="165"/>
      <c r="DF32" s="165"/>
      <c r="DG32" s="165"/>
      <c r="DH32" s="165"/>
      <c r="DI32" s="165"/>
      <c r="DJ32" s="165"/>
      <c r="DK32" s="165"/>
      <c r="DL32" s="165"/>
      <c r="DM32" s="165"/>
      <c r="DN32" s="165"/>
      <c r="DO32" s="165"/>
      <c r="DP32" s="165"/>
      <c r="DQ32" s="165"/>
      <c r="DR32" s="165"/>
      <c r="DS32" s="165"/>
      <c r="DT32" s="165"/>
      <c r="DU32" s="165"/>
      <c r="DV32" s="165"/>
      <c r="DW32" s="165"/>
      <c r="DX32" s="165"/>
      <c r="DY32" s="165"/>
      <c r="DZ32" s="165"/>
      <c r="EA32" s="165"/>
      <c r="EB32" s="165"/>
      <c r="EC32" s="165"/>
      <c r="ED32" s="165"/>
      <c r="EE32" s="165"/>
      <c r="EF32" s="165"/>
      <c r="EG32" s="165"/>
      <c r="EH32" s="165"/>
      <c r="EI32" s="165"/>
      <c r="EJ32" s="165"/>
      <c r="EK32" s="165"/>
      <c r="EL32" s="165"/>
      <c r="EM32" s="165"/>
      <c r="EN32" s="165"/>
      <c r="EO32" s="165"/>
      <c r="EP32" s="165"/>
      <c r="EQ32" s="165"/>
      <c r="ER32" s="165"/>
      <c r="ES32" s="165"/>
      <c r="ET32" s="165"/>
      <c r="EU32" s="165"/>
      <c r="EV32" s="165"/>
      <c r="EW32" s="165"/>
      <c r="EX32" s="165"/>
      <c r="EY32" s="165"/>
      <c r="EZ32" s="165"/>
      <c r="FA32" s="165"/>
      <c r="FB32" s="165"/>
      <c r="FC32" s="165"/>
      <c r="FD32" s="165"/>
      <c r="FE32" s="165"/>
      <c r="FF32" s="165"/>
      <c r="FG32" s="165"/>
      <c r="FH32" s="165"/>
      <c r="FI32" s="165"/>
      <c r="FJ32" s="165"/>
      <c r="FK32" s="165"/>
      <c r="FL32" s="165"/>
      <c r="FM32" s="165"/>
      <c r="FN32" s="165"/>
      <c r="FO32" s="165"/>
      <c r="FP32" s="165"/>
      <c r="FQ32" s="165"/>
      <c r="FR32" s="165"/>
      <c r="FS32" s="165"/>
      <c r="FT32" s="165"/>
      <c r="FU32" s="165"/>
      <c r="FV32" s="165"/>
      <c r="FW32" s="165"/>
      <c r="FX32" s="165"/>
      <c r="FY32" s="165"/>
      <c r="FZ32" s="165"/>
      <c r="GA32" s="165"/>
      <c r="GB32" s="165"/>
      <c r="GC32" s="165"/>
      <c r="GD32" s="165"/>
      <c r="GE32" s="165"/>
      <c r="GF32" s="165"/>
      <c r="GG32" s="165"/>
      <c r="GH32" s="165"/>
      <c r="GI32" s="165"/>
      <c r="GJ32" s="165"/>
      <c r="GK32" s="165"/>
      <c r="GL32" s="165"/>
      <c r="GM32" s="165"/>
      <c r="GN32" s="165"/>
      <c r="GO32" s="165"/>
      <c r="GP32" s="165"/>
      <c r="GQ32" s="165"/>
      <c r="GR32" s="165"/>
      <c r="GS32" s="165"/>
      <c r="GT32" s="165"/>
      <c r="GU32" s="165"/>
      <c r="GV32" s="165"/>
      <c r="GW32" s="165"/>
      <c r="GX32" s="165"/>
      <c r="GY32" s="165"/>
      <c r="GZ32" s="165"/>
      <c r="HA32" s="165"/>
      <c r="HB32" s="165"/>
      <c r="HC32" s="165"/>
      <c r="HD32" s="165"/>
      <c r="HE32" s="165"/>
      <c r="HF32" s="165"/>
      <c r="HG32" s="165"/>
      <c r="HH32" s="165"/>
      <c r="HI32" s="165"/>
      <c r="HJ32" s="165"/>
      <c r="HK32" s="165"/>
      <c r="HL32" s="165"/>
      <c r="HM32" s="165"/>
      <c r="HN32" s="165"/>
      <c r="HO32" s="165"/>
      <c r="HP32" s="165"/>
      <c r="HQ32" s="165"/>
      <c r="HR32" s="165"/>
      <c r="HS32" s="165"/>
      <c r="HT32" s="165"/>
      <c r="HU32" s="165"/>
      <c r="HV32" s="165"/>
      <c r="HW32" s="165"/>
      <c r="HX32" s="165"/>
      <c r="HY32" s="165"/>
      <c r="HZ32" s="165"/>
      <c r="IA32" s="165"/>
      <c r="IB32" s="165"/>
      <c r="IC32" s="165"/>
      <c r="ID32" s="165"/>
      <c r="IE32" s="165"/>
      <c r="IF32" s="165"/>
      <c r="IG32" s="165"/>
      <c r="IH32" s="165"/>
      <c r="II32" s="165"/>
      <c r="IJ32" s="165"/>
      <c r="IK32" s="165"/>
      <c r="IL32" s="165"/>
      <c r="IM32" s="165"/>
      <c r="IN32" s="165"/>
      <c r="IO32" s="165"/>
      <c r="IP32" s="165"/>
      <c r="IQ32" s="165"/>
      <c r="IR32" s="165"/>
      <c r="IS32" s="165"/>
      <c r="IT32" s="165"/>
      <c r="IU32" s="165"/>
      <c r="IV32" s="165"/>
    </row>
    <row r="33" spans="1:256" ht="15">
      <c r="A33" s="346" t="s">
        <v>41</v>
      </c>
      <c r="B33" s="197">
        <f t="shared" si="0"/>
        <v>0.5700000000000001</v>
      </c>
      <c r="C33" s="196">
        <v>0.18</v>
      </c>
      <c r="D33" s="196">
        <v>0.25</v>
      </c>
      <c r="E33" s="196">
        <v>0</v>
      </c>
      <c r="F33" s="179">
        <f aca="true" t="shared" si="5" ref="F33:F39">SUM(G33:I33)</f>
        <v>594.0751736725517</v>
      </c>
      <c r="G33" s="180">
        <f t="shared" si="1"/>
        <v>479.66066779811865</v>
      </c>
      <c r="H33" s="340">
        <f t="shared" si="2"/>
        <v>101.97555584685492</v>
      </c>
      <c r="I33" s="335">
        <f t="shared" si="3"/>
        <v>12.4389500275781</v>
      </c>
      <c r="J33" s="499"/>
      <c r="K33" s="165"/>
      <c r="L33" s="165"/>
      <c r="N33" s="162"/>
      <c r="O33" s="162"/>
      <c r="P33" s="162"/>
      <c r="Q33" s="162"/>
      <c r="R33" s="162"/>
      <c r="S33" s="162"/>
      <c r="T33" s="162"/>
      <c r="U33" s="162"/>
      <c r="V33" s="162"/>
      <c r="W33" s="162"/>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5"/>
      <c r="BQ33" s="165"/>
      <c r="BR33" s="165"/>
      <c r="BS33" s="165"/>
      <c r="BT33" s="165"/>
      <c r="BU33" s="165"/>
      <c r="BV33" s="165"/>
      <c r="BW33" s="165"/>
      <c r="BX33" s="165"/>
      <c r="BY33" s="165"/>
      <c r="BZ33" s="165"/>
      <c r="CA33" s="165"/>
      <c r="CB33" s="165"/>
      <c r="CC33" s="165"/>
      <c r="CD33" s="165"/>
      <c r="CE33" s="165"/>
      <c r="CF33" s="165"/>
      <c r="CG33" s="165"/>
      <c r="CH33" s="165"/>
      <c r="CI33" s="165"/>
      <c r="CJ33" s="165"/>
      <c r="CK33" s="165"/>
      <c r="CL33" s="165"/>
      <c r="CM33" s="165"/>
      <c r="CN33" s="165"/>
      <c r="CO33" s="165"/>
      <c r="CP33" s="165"/>
      <c r="CQ33" s="165"/>
      <c r="CR33" s="165"/>
      <c r="CS33" s="165"/>
      <c r="CT33" s="165"/>
      <c r="CU33" s="165"/>
      <c r="CV33" s="165"/>
      <c r="CW33" s="165"/>
      <c r="CX33" s="165"/>
      <c r="CY33" s="165"/>
      <c r="CZ33" s="165"/>
      <c r="DA33" s="165"/>
      <c r="DB33" s="165"/>
      <c r="DC33" s="165"/>
      <c r="DD33" s="165"/>
      <c r="DE33" s="165"/>
      <c r="DF33" s="165"/>
      <c r="DG33" s="165"/>
      <c r="DH33" s="165"/>
      <c r="DI33" s="165"/>
      <c r="DJ33" s="165"/>
      <c r="DK33" s="165"/>
      <c r="DL33" s="165"/>
      <c r="DM33" s="165"/>
      <c r="DN33" s="165"/>
      <c r="DO33" s="165"/>
      <c r="DP33" s="165"/>
      <c r="DQ33" s="165"/>
      <c r="DR33" s="165"/>
      <c r="DS33" s="165"/>
      <c r="DT33" s="165"/>
      <c r="DU33" s="165"/>
      <c r="DV33" s="165"/>
      <c r="DW33" s="165"/>
      <c r="DX33" s="165"/>
      <c r="DY33" s="165"/>
      <c r="DZ33" s="165"/>
      <c r="EA33" s="165"/>
      <c r="EB33" s="165"/>
      <c r="EC33" s="165"/>
      <c r="ED33" s="165"/>
      <c r="EE33" s="165"/>
      <c r="EF33" s="165"/>
      <c r="EG33" s="165"/>
      <c r="EH33" s="165"/>
      <c r="EI33" s="165"/>
      <c r="EJ33" s="165"/>
      <c r="EK33" s="165"/>
      <c r="EL33" s="165"/>
      <c r="EM33" s="165"/>
      <c r="EN33" s="165"/>
      <c r="EO33" s="165"/>
      <c r="EP33" s="165"/>
      <c r="EQ33" s="165"/>
      <c r="ER33" s="165"/>
      <c r="ES33" s="165"/>
      <c r="ET33" s="165"/>
      <c r="EU33" s="165"/>
      <c r="EV33" s="165"/>
      <c r="EW33" s="165"/>
      <c r="EX33" s="165"/>
      <c r="EY33" s="165"/>
      <c r="EZ33" s="165"/>
      <c r="FA33" s="165"/>
      <c r="FB33" s="165"/>
      <c r="FC33" s="165"/>
      <c r="FD33" s="165"/>
      <c r="FE33" s="165"/>
      <c r="FF33" s="165"/>
      <c r="FG33" s="165"/>
      <c r="FH33" s="165"/>
      <c r="FI33" s="165"/>
      <c r="FJ33" s="165"/>
      <c r="FK33" s="165"/>
      <c r="FL33" s="165"/>
      <c r="FM33" s="165"/>
      <c r="FN33" s="165"/>
      <c r="FO33" s="165"/>
      <c r="FP33" s="165"/>
      <c r="FQ33" s="165"/>
      <c r="FR33" s="165"/>
      <c r="FS33" s="165"/>
      <c r="FT33" s="165"/>
      <c r="FU33" s="165"/>
      <c r="FV33" s="165"/>
      <c r="FW33" s="165"/>
      <c r="FX33" s="165"/>
      <c r="FY33" s="165"/>
      <c r="FZ33" s="165"/>
      <c r="GA33" s="165"/>
      <c r="GB33" s="165"/>
      <c r="GC33" s="165"/>
      <c r="GD33" s="165"/>
      <c r="GE33" s="165"/>
      <c r="GF33" s="165"/>
      <c r="GG33" s="165"/>
      <c r="GH33" s="165"/>
      <c r="GI33" s="165"/>
      <c r="GJ33" s="165"/>
      <c r="GK33" s="165"/>
      <c r="GL33" s="165"/>
      <c r="GM33" s="165"/>
      <c r="GN33" s="165"/>
      <c r="GO33" s="165"/>
      <c r="GP33" s="165"/>
      <c r="GQ33" s="165"/>
      <c r="GR33" s="165"/>
      <c r="GS33" s="165"/>
      <c r="GT33" s="165"/>
      <c r="GU33" s="165"/>
      <c r="GV33" s="165"/>
      <c r="GW33" s="165"/>
      <c r="GX33" s="165"/>
      <c r="GY33" s="165"/>
      <c r="GZ33" s="165"/>
      <c r="HA33" s="165"/>
      <c r="HB33" s="165"/>
      <c r="HC33" s="165"/>
      <c r="HD33" s="165"/>
      <c r="HE33" s="165"/>
      <c r="HF33" s="165"/>
      <c r="HG33" s="165"/>
      <c r="HH33" s="165"/>
      <c r="HI33" s="165"/>
      <c r="HJ33" s="165"/>
      <c r="HK33" s="165"/>
      <c r="HL33" s="165"/>
      <c r="HM33" s="165"/>
      <c r="HN33" s="165"/>
      <c r="HO33" s="165"/>
      <c r="HP33" s="165"/>
      <c r="HQ33" s="165"/>
      <c r="HR33" s="165"/>
      <c r="HS33" s="165"/>
      <c r="HT33" s="165"/>
      <c r="HU33" s="165"/>
      <c r="HV33" s="165"/>
      <c r="HW33" s="165"/>
      <c r="HX33" s="165"/>
      <c r="HY33" s="165"/>
      <c r="HZ33" s="165"/>
      <c r="IA33" s="165"/>
      <c r="IB33" s="165"/>
      <c r="IC33" s="165"/>
      <c r="ID33" s="165"/>
      <c r="IE33" s="165"/>
      <c r="IF33" s="165"/>
      <c r="IG33" s="165"/>
      <c r="IH33" s="165"/>
      <c r="II33" s="165"/>
      <c r="IJ33" s="165"/>
      <c r="IK33" s="165"/>
      <c r="IL33" s="165"/>
      <c r="IM33" s="165"/>
      <c r="IN33" s="165"/>
      <c r="IO33" s="165"/>
      <c r="IP33" s="165"/>
      <c r="IQ33" s="165"/>
      <c r="IR33" s="165"/>
      <c r="IS33" s="165"/>
      <c r="IT33" s="165"/>
      <c r="IU33" s="165"/>
      <c r="IV33" s="165"/>
    </row>
    <row r="34" spans="1:256" ht="15">
      <c r="A34" s="346" t="s">
        <v>65</v>
      </c>
      <c r="B34" s="328">
        <f t="shared" si="0"/>
        <v>0.37999999999999995</v>
      </c>
      <c r="C34" s="195">
        <v>0.31</v>
      </c>
      <c r="D34" s="195">
        <v>0.31</v>
      </c>
      <c r="E34" s="195">
        <v>0</v>
      </c>
      <c r="F34" s="173">
        <f t="shared" si="5"/>
        <v>414.7641726301784</v>
      </c>
      <c r="G34" s="174">
        <f t="shared" si="1"/>
        <v>327.3717177838291</v>
      </c>
      <c r="H34" s="339">
        <f t="shared" si="2"/>
        <v>79.0998214946305</v>
      </c>
      <c r="I34" s="334">
        <f t="shared" si="3"/>
        <v>8.292633351718731</v>
      </c>
      <c r="J34" s="499"/>
      <c r="K34" s="159"/>
      <c r="L34" s="165"/>
      <c r="N34" s="162"/>
      <c r="O34" s="162"/>
      <c r="P34" s="162"/>
      <c r="Q34" s="162"/>
      <c r="R34" s="162"/>
      <c r="S34" s="162"/>
      <c r="T34" s="162"/>
      <c r="U34" s="162"/>
      <c r="V34" s="162"/>
      <c r="W34" s="162"/>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5"/>
      <c r="BQ34" s="165"/>
      <c r="BR34" s="165"/>
      <c r="BS34" s="165"/>
      <c r="BT34" s="165"/>
      <c r="BU34" s="165"/>
      <c r="BV34" s="165"/>
      <c r="BW34" s="165"/>
      <c r="BX34" s="165"/>
      <c r="BY34" s="165"/>
      <c r="BZ34" s="165"/>
      <c r="CA34" s="165"/>
      <c r="CB34" s="165"/>
      <c r="CC34" s="165"/>
      <c r="CD34" s="165"/>
      <c r="CE34" s="165"/>
      <c r="CF34" s="165"/>
      <c r="CG34" s="165"/>
      <c r="CH34" s="165"/>
      <c r="CI34" s="165"/>
      <c r="CJ34" s="165"/>
      <c r="CK34" s="165"/>
      <c r="CL34" s="165"/>
      <c r="CM34" s="165"/>
      <c r="CN34" s="165"/>
      <c r="CO34" s="165"/>
      <c r="CP34" s="165"/>
      <c r="CQ34" s="165"/>
      <c r="CR34" s="165"/>
      <c r="CS34" s="165"/>
      <c r="CT34" s="165"/>
      <c r="CU34" s="165"/>
      <c r="CV34" s="165"/>
      <c r="CW34" s="165"/>
      <c r="CX34" s="165"/>
      <c r="CY34" s="165"/>
      <c r="CZ34" s="165"/>
      <c r="DA34" s="165"/>
      <c r="DB34" s="165"/>
      <c r="DC34" s="165"/>
      <c r="DD34" s="165"/>
      <c r="DE34" s="165"/>
      <c r="DF34" s="165"/>
      <c r="DG34" s="165"/>
      <c r="DH34" s="165"/>
      <c r="DI34" s="165"/>
      <c r="DJ34" s="165"/>
      <c r="DK34" s="165"/>
      <c r="DL34" s="165"/>
      <c r="DM34" s="165"/>
      <c r="DN34" s="165"/>
      <c r="DO34" s="165"/>
      <c r="DP34" s="165"/>
      <c r="DQ34" s="165"/>
      <c r="DR34" s="165"/>
      <c r="DS34" s="165"/>
      <c r="DT34" s="165"/>
      <c r="DU34" s="165"/>
      <c r="DV34" s="165"/>
      <c r="DW34" s="165"/>
      <c r="DX34" s="165"/>
      <c r="DY34" s="165"/>
      <c r="DZ34" s="165"/>
      <c r="EA34" s="165"/>
      <c r="EB34" s="165"/>
      <c r="EC34" s="165"/>
      <c r="ED34" s="165"/>
      <c r="EE34" s="165"/>
      <c r="EF34" s="165"/>
      <c r="EG34" s="165"/>
      <c r="EH34" s="165"/>
      <c r="EI34" s="165"/>
      <c r="EJ34" s="165"/>
      <c r="EK34" s="165"/>
      <c r="EL34" s="165"/>
      <c r="EM34" s="165"/>
      <c r="EN34" s="165"/>
      <c r="EO34" s="165"/>
      <c r="EP34" s="165"/>
      <c r="EQ34" s="165"/>
      <c r="ER34" s="165"/>
      <c r="ES34" s="165"/>
      <c r="ET34" s="165"/>
      <c r="EU34" s="165"/>
      <c r="EV34" s="165"/>
      <c r="EW34" s="165"/>
      <c r="EX34" s="165"/>
      <c r="EY34" s="165"/>
      <c r="EZ34" s="165"/>
      <c r="FA34" s="165"/>
      <c r="FB34" s="165"/>
      <c r="FC34" s="165"/>
      <c r="FD34" s="165"/>
      <c r="FE34" s="165"/>
      <c r="FF34" s="165"/>
      <c r="FG34" s="165"/>
      <c r="FH34" s="165"/>
      <c r="FI34" s="165"/>
      <c r="FJ34" s="165"/>
      <c r="FK34" s="165"/>
      <c r="FL34" s="165"/>
      <c r="FM34" s="165"/>
      <c r="FN34" s="165"/>
      <c r="FO34" s="165"/>
      <c r="FP34" s="165"/>
      <c r="FQ34" s="165"/>
      <c r="FR34" s="165"/>
      <c r="FS34" s="165"/>
      <c r="FT34" s="165"/>
      <c r="FU34" s="165"/>
      <c r="FV34" s="165"/>
      <c r="FW34" s="165"/>
      <c r="FX34" s="165"/>
      <c r="FY34" s="165"/>
      <c r="FZ34" s="165"/>
      <c r="GA34" s="165"/>
      <c r="GB34" s="165"/>
      <c r="GC34" s="165"/>
      <c r="GD34" s="165"/>
      <c r="GE34" s="165"/>
      <c r="GF34" s="165"/>
      <c r="GG34" s="165"/>
      <c r="GH34" s="165"/>
      <c r="GI34" s="165"/>
      <c r="GJ34" s="165"/>
      <c r="GK34" s="165"/>
      <c r="GL34" s="165"/>
      <c r="GM34" s="165"/>
      <c r="GN34" s="165"/>
      <c r="GO34" s="165"/>
      <c r="GP34" s="165"/>
      <c r="GQ34" s="165"/>
      <c r="GR34" s="165"/>
      <c r="GS34" s="165"/>
      <c r="GT34" s="165"/>
      <c r="GU34" s="165"/>
      <c r="GV34" s="165"/>
      <c r="GW34" s="165"/>
      <c r="GX34" s="165"/>
      <c r="GY34" s="165"/>
      <c r="GZ34" s="165"/>
      <c r="HA34" s="165"/>
      <c r="HB34" s="165"/>
      <c r="HC34" s="165"/>
      <c r="HD34" s="165"/>
      <c r="HE34" s="165"/>
      <c r="HF34" s="165"/>
      <c r="HG34" s="165"/>
      <c r="HH34" s="165"/>
      <c r="HI34" s="165"/>
      <c r="HJ34" s="165"/>
      <c r="HK34" s="165"/>
      <c r="HL34" s="165"/>
      <c r="HM34" s="165"/>
      <c r="HN34" s="165"/>
      <c r="HO34" s="165"/>
      <c r="HP34" s="165"/>
      <c r="HQ34" s="165"/>
      <c r="HR34" s="165"/>
      <c r="HS34" s="165"/>
      <c r="HT34" s="165"/>
      <c r="HU34" s="165"/>
      <c r="HV34" s="165"/>
      <c r="HW34" s="165"/>
      <c r="HX34" s="165"/>
      <c r="HY34" s="165"/>
      <c r="HZ34" s="165"/>
      <c r="IA34" s="165"/>
      <c r="IB34" s="165"/>
      <c r="IC34" s="165"/>
      <c r="ID34" s="165"/>
      <c r="IE34" s="165"/>
      <c r="IF34" s="165"/>
      <c r="IG34" s="165"/>
      <c r="IH34" s="165"/>
      <c r="II34" s="165"/>
      <c r="IJ34" s="165"/>
      <c r="IK34" s="165"/>
      <c r="IL34" s="165"/>
      <c r="IM34" s="165"/>
      <c r="IN34" s="165"/>
      <c r="IO34" s="165"/>
      <c r="IP34" s="165"/>
      <c r="IQ34" s="165"/>
      <c r="IR34" s="165"/>
      <c r="IS34" s="165"/>
      <c r="IT34" s="165"/>
      <c r="IU34" s="165"/>
      <c r="IV34" s="165"/>
    </row>
    <row r="35" spans="1:44" ht="12.75">
      <c r="A35" s="369" t="s">
        <v>31</v>
      </c>
      <c r="B35" s="327">
        <f t="shared" si="0"/>
        <v>1</v>
      </c>
      <c r="C35" s="282">
        <v>0</v>
      </c>
      <c r="D35" s="283">
        <v>0</v>
      </c>
      <c r="E35" s="284">
        <v>0</v>
      </c>
      <c r="F35" s="274">
        <f t="shared" si="5"/>
        <v>0</v>
      </c>
      <c r="G35" s="370">
        <v>0</v>
      </c>
      <c r="H35" s="371">
        <v>0</v>
      </c>
      <c r="I35" s="372">
        <v>0</v>
      </c>
      <c r="J35" s="499"/>
      <c r="K35" s="159"/>
      <c r="L35" s="159"/>
      <c r="N35" s="162"/>
      <c r="O35" s="162"/>
      <c r="P35" s="162"/>
      <c r="Q35" s="162"/>
      <c r="R35" s="162"/>
      <c r="S35" s="162"/>
      <c r="T35" s="162"/>
      <c r="U35" s="162"/>
      <c r="V35" s="162"/>
      <c r="W35" s="162"/>
      <c r="AG35" s="162"/>
      <c r="AH35" s="162"/>
      <c r="AI35" s="162"/>
      <c r="AJ35" s="162"/>
      <c r="AK35" s="162"/>
      <c r="AL35" s="162"/>
      <c r="AM35" s="162"/>
      <c r="AN35" s="162"/>
      <c r="AO35" s="162"/>
      <c r="AP35" s="162"/>
      <c r="AQ35" s="162"/>
      <c r="AR35" s="162"/>
    </row>
    <row r="36" spans="1:44" ht="13.5" thickBot="1">
      <c r="A36" s="348" t="s">
        <v>32</v>
      </c>
      <c r="B36" s="329">
        <f t="shared" si="0"/>
        <v>1</v>
      </c>
      <c r="C36" s="279">
        <v>0</v>
      </c>
      <c r="D36" s="280">
        <v>0</v>
      </c>
      <c r="E36" s="281">
        <v>0</v>
      </c>
      <c r="F36" s="181">
        <f t="shared" si="5"/>
        <v>0</v>
      </c>
      <c r="G36" s="273">
        <v>0</v>
      </c>
      <c r="H36" s="341">
        <v>0</v>
      </c>
      <c r="I36" s="336">
        <v>0</v>
      </c>
      <c r="J36" s="499"/>
      <c r="K36" s="159"/>
      <c r="L36" s="159"/>
      <c r="N36" s="162"/>
      <c r="O36" s="162"/>
      <c r="P36" s="162"/>
      <c r="Q36" s="162"/>
      <c r="R36" s="162"/>
      <c r="S36" s="162"/>
      <c r="T36" s="162"/>
      <c r="U36" s="162"/>
      <c r="V36" s="162"/>
      <c r="W36" s="162"/>
      <c r="AD36" s="162"/>
      <c r="AE36" s="162"/>
      <c r="AF36" s="162"/>
      <c r="AG36" s="162"/>
      <c r="AH36" s="162"/>
      <c r="AI36" s="162"/>
      <c r="AJ36" s="162"/>
      <c r="AK36" s="162"/>
      <c r="AL36" s="162"/>
      <c r="AM36" s="162"/>
      <c r="AN36" s="162"/>
      <c r="AO36" s="162"/>
      <c r="AP36" s="162"/>
      <c r="AQ36" s="162"/>
      <c r="AR36" s="162"/>
    </row>
    <row r="37" spans="1:44" ht="12.75">
      <c r="A37" s="347" t="s">
        <v>33</v>
      </c>
      <c r="B37" s="327">
        <f t="shared" si="0"/>
        <v>1</v>
      </c>
      <c r="C37" s="282">
        <v>0</v>
      </c>
      <c r="D37" s="283">
        <v>0</v>
      </c>
      <c r="E37" s="284">
        <v>0</v>
      </c>
      <c r="F37" s="274">
        <f t="shared" si="5"/>
        <v>985.3744161609942</v>
      </c>
      <c r="G37" s="275">
        <f>(G$39*$B37)+($G$8*$C37)+($G$9*$D37)+($G$12*$E37)</f>
        <v>818.2643141339246</v>
      </c>
      <c r="H37" s="342">
        <f>(H$39*$B37)+($H$8*$C37)+($H$9*$D37)+($H$12*$E37)</f>
        <v>145.2873826804414</v>
      </c>
      <c r="I37" s="337">
        <f>(I$39*$B37)+($I$8*$C37)+($I$9*$D37)+($I$12*$E37)</f>
        <v>21.822719346628244</v>
      </c>
      <c r="J37" s="499"/>
      <c r="K37" s="159"/>
      <c r="L37" s="159"/>
      <c r="N37" s="162"/>
      <c r="O37" s="162"/>
      <c r="P37" s="162"/>
      <c r="Q37" s="162"/>
      <c r="R37" s="162"/>
      <c r="S37" s="162"/>
      <c r="T37" s="162"/>
      <c r="U37" s="162"/>
      <c r="V37" s="162"/>
      <c r="W37" s="162"/>
      <c r="AD37" s="162"/>
      <c r="AE37" s="162"/>
      <c r="AF37" s="162"/>
      <c r="AG37" s="162"/>
      <c r="AH37" s="162"/>
      <c r="AI37" s="162"/>
      <c r="AJ37" s="162"/>
      <c r="AK37" s="162"/>
      <c r="AL37" s="162"/>
      <c r="AM37" s="162"/>
      <c r="AN37" s="162"/>
      <c r="AO37" s="162"/>
      <c r="AP37" s="162"/>
      <c r="AQ37" s="162"/>
      <c r="AR37" s="162"/>
    </row>
    <row r="38" spans="1:44" ht="12.75">
      <c r="A38" s="368" t="s">
        <v>34</v>
      </c>
      <c r="B38" s="328">
        <f t="shared" si="0"/>
        <v>1</v>
      </c>
      <c r="C38" s="285">
        <v>0</v>
      </c>
      <c r="D38" s="286">
        <v>0</v>
      </c>
      <c r="E38" s="287">
        <v>0</v>
      </c>
      <c r="F38" s="173">
        <f t="shared" si="5"/>
        <v>985.3744161609942</v>
      </c>
      <c r="G38" s="276">
        <f>(G$39*$B38)+($G$8*$C38)+($G$9*$D38)+($G$12*$E38)</f>
        <v>818.2643141339246</v>
      </c>
      <c r="H38" s="339">
        <f>(H$39*$B38)+($H$8*$C38)+($H$9*$D38)+($H$12*$E38)</f>
        <v>145.2873826804414</v>
      </c>
      <c r="I38" s="334">
        <f>(I$39*$B38)+($I$8*$C38)+($I$9*$D38)+($I$12*$E38)</f>
        <v>21.822719346628244</v>
      </c>
      <c r="J38" s="499"/>
      <c r="K38" s="159"/>
      <c r="L38" s="159"/>
      <c r="N38" s="162"/>
      <c r="O38" s="162"/>
      <c r="P38" s="162"/>
      <c r="Q38" s="162"/>
      <c r="R38" s="162"/>
      <c r="S38" s="162"/>
      <c r="T38" s="162"/>
      <c r="U38" s="162"/>
      <c r="V38" s="162"/>
      <c r="W38" s="162"/>
      <c r="AD38" s="162"/>
      <c r="AE38" s="162"/>
      <c r="AF38" s="162"/>
      <c r="AG38" s="162"/>
      <c r="AH38" s="162"/>
      <c r="AI38" s="162"/>
      <c r="AJ38" s="162"/>
      <c r="AK38" s="162"/>
      <c r="AL38" s="162"/>
      <c r="AM38" s="162"/>
      <c r="AN38" s="162"/>
      <c r="AO38" s="162"/>
      <c r="AP38" s="162"/>
      <c r="AQ38" s="162"/>
      <c r="AR38" s="162"/>
    </row>
    <row r="39" spans="1:44" ht="13.5" thickBot="1">
      <c r="A39" s="362" t="s">
        <v>66</v>
      </c>
      <c r="B39" s="363">
        <f>1-C39-D39-E39</f>
        <v>1</v>
      </c>
      <c r="C39" s="364">
        <v>0</v>
      </c>
      <c r="D39" s="365">
        <v>0</v>
      </c>
      <c r="E39" s="366">
        <v>0</v>
      </c>
      <c r="F39" s="367">
        <f t="shared" si="5"/>
        <v>985.3744161609942</v>
      </c>
      <c r="G39" s="273">
        <f>G23</f>
        <v>818.2643141339246</v>
      </c>
      <c r="H39" s="341">
        <f>H23</f>
        <v>145.2873826804414</v>
      </c>
      <c r="I39" s="336">
        <f>I23</f>
        <v>21.822719346628244</v>
      </c>
      <c r="J39" s="500"/>
      <c r="K39" s="159"/>
      <c r="L39" s="159"/>
      <c r="N39" s="162"/>
      <c r="O39" s="162"/>
      <c r="P39" s="162"/>
      <c r="Q39" s="162"/>
      <c r="R39" s="162"/>
      <c r="S39" s="162"/>
      <c r="T39" s="162"/>
      <c r="U39" s="162"/>
      <c r="V39" s="162"/>
      <c r="W39" s="162"/>
      <c r="AD39" s="162"/>
      <c r="AE39" s="162"/>
      <c r="AF39" s="162"/>
      <c r="AG39" s="162"/>
      <c r="AH39" s="162"/>
      <c r="AI39" s="162"/>
      <c r="AJ39" s="162"/>
      <c r="AK39" s="162"/>
      <c r="AL39" s="162"/>
      <c r="AM39" s="162"/>
      <c r="AN39" s="162"/>
      <c r="AO39" s="162"/>
      <c r="AP39" s="162"/>
      <c r="AQ39" s="162"/>
      <c r="AR39" s="162"/>
    </row>
    <row r="40" spans="1:44" ht="5.25" customHeight="1">
      <c r="A40" s="161"/>
      <c r="B40" s="161"/>
      <c r="C40" s="161"/>
      <c r="D40" s="161"/>
      <c r="E40" s="161"/>
      <c r="F40" s="159"/>
      <c r="G40" s="159"/>
      <c r="H40" s="159"/>
      <c r="I40" s="183"/>
      <c r="J40" s="183"/>
      <c r="K40" s="159"/>
      <c r="L40" s="159"/>
      <c r="N40" s="162"/>
      <c r="O40" s="162"/>
      <c r="P40" s="162"/>
      <c r="Q40" s="162"/>
      <c r="R40" s="162"/>
      <c r="S40" s="162"/>
      <c r="T40" s="162"/>
      <c r="U40" s="162"/>
      <c r="V40" s="162"/>
      <c r="W40" s="162"/>
      <c r="AD40" s="162"/>
      <c r="AE40" s="162"/>
      <c r="AF40" s="162"/>
      <c r="AG40" s="162"/>
      <c r="AH40" s="162"/>
      <c r="AI40" s="162"/>
      <c r="AJ40" s="162"/>
      <c r="AK40" s="162"/>
      <c r="AL40" s="162"/>
      <c r="AM40" s="162"/>
      <c r="AN40" s="162"/>
      <c r="AO40" s="162"/>
      <c r="AP40" s="162"/>
      <c r="AQ40" s="162"/>
      <c r="AR40" s="162"/>
    </row>
    <row r="41" spans="1:44" ht="12.75" hidden="1">
      <c r="A41" s="308"/>
      <c r="B41" s="308"/>
      <c r="C41" s="308"/>
      <c r="D41" s="308"/>
      <c r="E41" s="308"/>
      <c r="F41" s="309"/>
      <c r="G41" s="309"/>
      <c r="H41" s="309"/>
      <c r="I41" s="309"/>
      <c r="J41" s="159"/>
      <c r="K41" s="159"/>
      <c r="L41" s="159"/>
      <c r="N41" s="162"/>
      <c r="O41" s="162"/>
      <c r="P41" s="162"/>
      <c r="Q41" s="162"/>
      <c r="R41" s="162"/>
      <c r="S41" s="162"/>
      <c r="T41" s="162"/>
      <c r="U41" s="162"/>
      <c r="V41" s="162"/>
      <c r="W41" s="162"/>
      <c r="AL41" s="162"/>
      <c r="AM41" s="162"/>
      <c r="AN41" s="162"/>
      <c r="AO41" s="162"/>
      <c r="AP41" s="162"/>
      <c r="AQ41" s="162"/>
      <c r="AR41" s="162"/>
    </row>
    <row r="42" spans="1:44" ht="12.75" hidden="1">
      <c r="A42" s="308" t="s">
        <v>46</v>
      </c>
      <c r="B42" s="308"/>
      <c r="C42" s="308"/>
      <c r="D42" s="308"/>
      <c r="E42" s="308"/>
      <c r="F42" s="309"/>
      <c r="G42" s="309"/>
      <c r="H42" s="309"/>
      <c r="I42" s="309"/>
      <c r="J42" s="159"/>
      <c r="K42" s="159"/>
      <c r="L42" s="159"/>
      <c r="N42" s="162"/>
      <c r="O42" s="162"/>
      <c r="P42" s="162"/>
      <c r="Q42" s="162"/>
      <c r="R42" s="162"/>
      <c r="S42" s="162"/>
      <c r="T42" s="162"/>
      <c r="U42" s="162"/>
      <c r="V42" s="162"/>
      <c r="W42" s="162"/>
      <c r="AL42" s="162"/>
      <c r="AM42" s="162"/>
      <c r="AN42" s="162"/>
      <c r="AO42" s="162"/>
      <c r="AP42" s="162"/>
      <c r="AQ42" s="162"/>
      <c r="AR42" s="162"/>
    </row>
    <row r="43" spans="1:44" ht="12.75" hidden="1">
      <c r="A43" s="308" t="s">
        <v>47</v>
      </c>
      <c r="B43" s="308"/>
      <c r="C43" s="308"/>
      <c r="D43" s="308"/>
      <c r="E43" s="308"/>
      <c r="F43" s="309"/>
      <c r="G43" s="309"/>
      <c r="H43" s="309"/>
      <c r="I43" s="309"/>
      <c r="J43" s="159"/>
      <c r="K43" s="159"/>
      <c r="L43" s="159"/>
      <c r="N43" s="162"/>
      <c r="O43" s="162"/>
      <c r="P43" s="162"/>
      <c r="Q43" s="162"/>
      <c r="R43" s="162"/>
      <c r="S43" s="162"/>
      <c r="T43" s="162"/>
      <c r="U43" s="162"/>
      <c r="V43" s="162"/>
      <c r="W43" s="162"/>
      <c r="AL43" s="162"/>
      <c r="AM43" s="162"/>
      <c r="AN43" s="162"/>
      <c r="AO43" s="162"/>
      <c r="AP43" s="162"/>
      <c r="AQ43" s="162"/>
      <c r="AR43" s="162"/>
    </row>
    <row r="44" spans="1:44" ht="12.75" hidden="1">
      <c r="A44" s="308"/>
      <c r="B44" s="308"/>
      <c r="C44" s="308"/>
      <c r="D44" s="308"/>
      <c r="E44" s="308"/>
      <c r="F44" s="309"/>
      <c r="G44" s="309"/>
      <c r="H44" s="309"/>
      <c r="I44" s="309"/>
      <c r="J44" s="159"/>
      <c r="K44" s="159"/>
      <c r="L44" s="159"/>
      <c r="N44" s="162"/>
      <c r="O44" s="162"/>
      <c r="P44" s="162"/>
      <c r="Q44" s="162"/>
      <c r="R44" s="162"/>
      <c r="S44" s="162"/>
      <c r="T44" s="162"/>
      <c r="U44" s="162"/>
      <c r="V44" s="162"/>
      <c r="W44" s="162"/>
      <c r="AL44" s="162"/>
      <c r="AM44" s="162"/>
      <c r="AN44" s="162"/>
      <c r="AO44" s="162"/>
      <c r="AP44" s="162"/>
      <c r="AQ44" s="162"/>
      <c r="AR44" s="162"/>
    </row>
    <row r="45" spans="1:44" ht="12.75" hidden="1">
      <c r="A45" s="308"/>
      <c r="B45" s="308"/>
      <c r="C45" s="308"/>
      <c r="D45" s="308"/>
      <c r="E45" s="308"/>
      <c r="F45" s="309"/>
      <c r="G45" s="309"/>
      <c r="H45" s="309"/>
      <c r="I45" s="309"/>
      <c r="J45" s="159"/>
      <c r="K45" s="159"/>
      <c r="L45" s="159"/>
      <c r="N45" s="162"/>
      <c r="O45" s="162"/>
      <c r="P45" s="162"/>
      <c r="Q45" s="162"/>
      <c r="R45" s="162"/>
      <c r="S45" s="162"/>
      <c r="T45" s="162"/>
      <c r="U45" s="162"/>
      <c r="V45" s="162"/>
      <c r="W45" s="162"/>
      <c r="AL45" s="162"/>
      <c r="AM45" s="162"/>
      <c r="AN45" s="162"/>
      <c r="AO45" s="162"/>
      <c r="AP45" s="162"/>
      <c r="AQ45" s="162"/>
      <c r="AR45" s="162"/>
    </row>
    <row r="46" spans="1:44" ht="12.75" hidden="1">
      <c r="A46" s="308" t="s">
        <v>58</v>
      </c>
      <c r="B46" s="308"/>
      <c r="C46" s="308"/>
      <c r="D46" s="308"/>
      <c r="E46" s="308"/>
      <c r="F46" s="309"/>
      <c r="G46" s="309"/>
      <c r="H46" s="309"/>
      <c r="I46" s="309"/>
      <c r="J46" s="159"/>
      <c r="K46" s="159"/>
      <c r="L46" s="159"/>
      <c r="N46" s="162"/>
      <c r="O46" s="162"/>
      <c r="P46" s="162"/>
      <c r="Q46" s="162"/>
      <c r="R46" s="162"/>
      <c r="S46" s="162"/>
      <c r="T46" s="162"/>
      <c r="U46" s="162"/>
      <c r="V46" s="162"/>
      <c r="W46" s="162"/>
      <c r="AL46" s="162"/>
      <c r="AM46" s="162"/>
      <c r="AN46" s="162"/>
      <c r="AO46" s="162"/>
      <c r="AP46" s="162"/>
      <c r="AQ46" s="162"/>
      <c r="AR46" s="162"/>
    </row>
    <row r="47" spans="1:44" ht="12.75" hidden="1">
      <c r="A47" s="308" t="s">
        <v>59</v>
      </c>
      <c r="B47" s="308"/>
      <c r="C47" s="308"/>
      <c r="D47" s="308"/>
      <c r="E47" s="308"/>
      <c r="F47" s="309"/>
      <c r="G47" s="309"/>
      <c r="H47" s="309"/>
      <c r="I47" s="309"/>
      <c r="J47" s="159"/>
      <c r="K47" s="159"/>
      <c r="L47" s="159"/>
      <c r="N47" s="162"/>
      <c r="O47" s="162"/>
      <c r="P47" s="162"/>
      <c r="Q47" s="162"/>
      <c r="R47" s="162"/>
      <c r="S47" s="162"/>
      <c r="T47" s="162"/>
      <c r="U47" s="162"/>
      <c r="V47" s="162"/>
      <c r="W47" s="162"/>
      <c r="AL47" s="162"/>
      <c r="AM47" s="162"/>
      <c r="AN47" s="162"/>
      <c r="AO47" s="162"/>
      <c r="AP47" s="162"/>
      <c r="AQ47" s="162"/>
      <c r="AR47" s="162"/>
    </row>
    <row r="48" spans="1:44" ht="12.75" hidden="1">
      <c r="A48" s="308" t="s">
        <v>61</v>
      </c>
      <c r="B48" s="308"/>
      <c r="C48" s="308"/>
      <c r="D48" s="308"/>
      <c r="E48" s="308"/>
      <c r="F48" s="309"/>
      <c r="G48" s="309"/>
      <c r="H48" s="309"/>
      <c r="I48" s="309"/>
      <c r="J48" s="159"/>
      <c r="K48" s="159"/>
      <c r="L48" s="159"/>
      <c r="N48" s="162"/>
      <c r="O48" s="162"/>
      <c r="P48" s="162"/>
      <c r="Q48" s="162"/>
      <c r="R48" s="162"/>
      <c r="S48" s="162"/>
      <c r="T48" s="162"/>
      <c r="U48" s="162"/>
      <c r="V48" s="162"/>
      <c r="W48" s="162"/>
      <c r="AL48" s="162"/>
      <c r="AM48" s="162"/>
      <c r="AN48" s="162"/>
      <c r="AO48" s="162"/>
      <c r="AP48" s="162"/>
      <c r="AQ48" s="162"/>
      <c r="AR48" s="162"/>
    </row>
    <row r="49" spans="1:44" ht="12.75" hidden="1">
      <c r="A49" s="308"/>
      <c r="B49" s="308"/>
      <c r="C49" s="308"/>
      <c r="D49" s="308"/>
      <c r="E49" s="308"/>
      <c r="F49" s="309"/>
      <c r="G49" s="309"/>
      <c r="H49" s="309"/>
      <c r="I49" s="309"/>
      <c r="J49" s="159"/>
      <c r="K49" s="159"/>
      <c r="L49" s="159"/>
      <c r="N49" s="162"/>
      <c r="O49" s="162"/>
      <c r="P49" s="162"/>
      <c r="Q49" s="162"/>
      <c r="R49" s="162"/>
      <c r="S49" s="162"/>
      <c r="T49" s="162"/>
      <c r="U49" s="162"/>
      <c r="V49" s="162"/>
      <c r="W49" s="162"/>
      <c r="AL49" s="162"/>
      <c r="AM49" s="162"/>
      <c r="AN49" s="162"/>
      <c r="AO49" s="162"/>
      <c r="AP49" s="162"/>
      <c r="AQ49" s="162"/>
      <c r="AR49" s="162"/>
    </row>
    <row r="50" spans="1:44" ht="12.75" hidden="1">
      <c r="A50" s="308" t="s">
        <v>67</v>
      </c>
      <c r="B50" s="308"/>
      <c r="C50" s="308"/>
      <c r="D50" s="308"/>
      <c r="E50" s="308"/>
      <c r="F50" s="309"/>
      <c r="G50" s="309"/>
      <c r="H50" s="309"/>
      <c r="I50" s="309"/>
      <c r="J50" s="159"/>
      <c r="K50" s="159"/>
      <c r="L50" s="159"/>
      <c r="N50" s="162"/>
      <c r="O50" s="162"/>
      <c r="P50" s="162"/>
      <c r="Q50" s="162"/>
      <c r="R50" s="162"/>
      <c r="S50" s="162"/>
      <c r="T50" s="162"/>
      <c r="U50" s="162"/>
      <c r="V50" s="162"/>
      <c r="W50" s="162"/>
      <c r="AL50" s="162"/>
      <c r="AM50" s="162"/>
      <c r="AN50" s="162"/>
      <c r="AO50" s="162"/>
      <c r="AP50" s="162"/>
      <c r="AQ50" s="162"/>
      <c r="AR50" s="162"/>
    </row>
    <row r="51" spans="1:44" ht="12.75" hidden="1">
      <c r="A51" s="308" t="s">
        <v>60</v>
      </c>
      <c r="B51" s="308"/>
      <c r="C51" s="308"/>
      <c r="D51" s="308"/>
      <c r="E51" s="308"/>
      <c r="F51" s="309"/>
      <c r="G51" s="309"/>
      <c r="H51" s="309"/>
      <c r="I51" s="309"/>
      <c r="J51" s="159"/>
      <c r="K51" s="159"/>
      <c r="L51" s="159"/>
      <c r="N51" s="162"/>
      <c r="O51" s="162"/>
      <c r="P51" s="162"/>
      <c r="Q51" s="162"/>
      <c r="R51" s="162"/>
      <c r="S51" s="162"/>
      <c r="T51" s="162"/>
      <c r="U51" s="162"/>
      <c r="V51" s="162"/>
      <c r="W51" s="162"/>
      <c r="AL51" s="162"/>
      <c r="AM51" s="162"/>
      <c r="AN51" s="162"/>
      <c r="AO51" s="162"/>
      <c r="AP51" s="162"/>
      <c r="AQ51" s="162"/>
      <c r="AR51" s="162"/>
    </row>
    <row r="52" spans="1:44" ht="12.75" hidden="1">
      <c r="A52" s="308"/>
      <c r="B52" s="308"/>
      <c r="C52" s="308"/>
      <c r="D52" s="308"/>
      <c r="E52" s="308"/>
      <c r="F52" s="309"/>
      <c r="G52" s="309"/>
      <c r="H52" s="309"/>
      <c r="I52" s="309"/>
      <c r="J52" s="159"/>
      <c r="K52" s="159"/>
      <c r="L52" s="159"/>
      <c r="N52" s="162"/>
      <c r="O52" s="162"/>
      <c r="P52" s="162"/>
      <c r="Q52" s="162"/>
      <c r="R52" s="162"/>
      <c r="S52" s="162"/>
      <c r="T52" s="162"/>
      <c r="U52" s="162"/>
      <c r="V52" s="162"/>
      <c r="W52" s="162"/>
      <c r="AL52" s="162"/>
      <c r="AM52" s="162"/>
      <c r="AN52" s="162"/>
      <c r="AO52" s="162"/>
      <c r="AP52" s="162"/>
      <c r="AQ52" s="162"/>
      <c r="AR52" s="162"/>
    </row>
    <row r="53" spans="1:44" ht="12.75" hidden="1">
      <c r="A53" s="308"/>
      <c r="B53" s="308"/>
      <c r="C53" s="308"/>
      <c r="D53" s="308"/>
      <c r="E53" s="308"/>
      <c r="F53" s="309"/>
      <c r="G53" s="309"/>
      <c r="H53" s="309"/>
      <c r="I53" s="309"/>
      <c r="J53" s="159"/>
      <c r="K53" s="159"/>
      <c r="L53" s="159"/>
      <c r="N53" s="162"/>
      <c r="O53" s="162"/>
      <c r="P53" s="162"/>
      <c r="Q53" s="162"/>
      <c r="R53" s="162"/>
      <c r="S53" s="162"/>
      <c r="T53" s="162"/>
      <c r="U53" s="162"/>
      <c r="V53" s="162"/>
      <c r="W53" s="162"/>
      <c r="AL53" s="162"/>
      <c r="AM53" s="162"/>
      <c r="AN53" s="162"/>
      <c r="AO53" s="162"/>
      <c r="AP53" s="162"/>
      <c r="AQ53" s="162"/>
      <c r="AR53" s="162"/>
    </row>
    <row r="54" spans="1:44" ht="12.75" hidden="1">
      <c r="A54" s="308"/>
      <c r="B54" s="308"/>
      <c r="C54" s="308"/>
      <c r="D54" s="308"/>
      <c r="E54" s="308"/>
      <c r="F54" s="309"/>
      <c r="G54" s="309"/>
      <c r="H54" s="309"/>
      <c r="I54" s="309"/>
      <c r="J54" s="159"/>
      <c r="K54" s="159"/>
      <c r="L54" s="159"/>
      <c r="N54" s="162"/>
      <c r="O54" s="162"/>
      <c r="P54" s="162"/>
      <c r="Q54" s="162"/>
      <c r="R54" s="162"/>
      <c r="S54" s="162"/>
      <c r="T54" s="162"/>
      <c r="U54" s="162"/>
      <c r="V54" s="162"/>
      <c r="W54" s="162"/>
      <c r="AL54" s="162"/>
      <c r="AM54" s="162"/>
      <c r="AN54" s="162"/>
      <c r="AO54" s="162"/>
      <c r="AP54" s="162"/>
      <c r="AQ54" s="162"/>
      <c r="AR54" s="162"/>
    </row>
    <row r="55" spans="1:23" ht="12.75" hidden="1">
      <c r="A55" s="310"/>
      <c r="B55" s="310"/>
      <c r="C55" s="310"/>
      <c r="D55" s="310"/>
      <c r="E55" s="311"/>
      <c r="F55" s="310"/>
      <c r="G55" s="310"/>
      <c r="H55" s="312"/>
      <c r="I55" s="312"/>
      <c r="J55" s="190"/>
      <c r="K55" s="159"/>
      <c r="L55" s="159"/>
      <c r="N55" s="162"/>
      <c r="O55" s="162"/>
      <c r="P55" s="162"/>
      <c r="Q55" s="162"/>
      <c r="R55" s="162"/>
      <c r="S55" s="162"/>
      <c r="T55" s="162"/>
      <c r="U55" s="162"/>
      <c r="V55" s="162"/>
      <c r="W55" s="162"/>
    </row>
    <row r="56" spans="1:23" ht="12.75" hidden="1">
      <c r="A56" s="310"/>
      <c r="B56" s="310"/>
      <c r="C56" s="310"/>
      <c r="D56" s="310"/>
      <c r="E56" s="311"/>
      <c r="F56" s="310"/>
      <c r="G56" s="310"/>
      <c r="H56" s="312"/>
      <c r="I56" s="312"/>
      <c r="J56" s="190"/>
      <c r="K56" s="159"/>
      <c r="L56" s="159"/>
      <c r="N56" s="162"/>
      <c r="O56" s="162"/>
      <c r="P56" s="162"/>
      <c r="Q56" s="162"/>
      <c r="R56" s="162"/>
      <c r="S56" s="162"/>
      <c r="T56" s="162"/>
      <c r="U56" s="162"/>
      <c r="V56" s="162"/>
      <c r="W56" s="162"/>
    </row>
    <row r="57" spans="1:23" ht="12.75" hidden="1">
      <c r="A57" s="310"/>
      <c r="B57" s="310"/>
      <c r="C57" s="310"/>
      <c r="D57" s="310"/>
      <c r="E57" s="311"/>
      <c r="F57" s="310"/>
      <c r="G57" s="310"/>
      <c r="H57" s="312"/>
      <c r="I57" s="312"/>
      <c r="J57" s="190"/>
      <c r="K57" s="159"/>
      <c r="L57" s="159"/>
      <c r="N57" s="162"/>
      <c r="O57" s="162"/>
      <c r="P57" s="162"/>
      <c r="Q57" s="162"/>
      <c r="R57" s="162"/>
      <c r="S57" s="162"/>
      <c r="T57" s="162"/>
      <c r="U57" s="162"/>
      <c r="V57" s="162"/>
      <c r="W57" s="162"/>
    </row>
    <row r="58" spans="1:23" ht="12.75" hidden="1">
      <c r="A58" s="310"/>
      <c r="B58" s="310"/>
      <c r="C58" s="310"/>
      <c r="D58" s="310"/>
      <c r="E58" s="311"/>
      <c r="F58" s="310"/>
      <c r="G58" s="310"/>
      <c r="H58" s="312"/>
      <c r="I58" s="312"/>
      <c r="J58" s="190"/>
      <c r="K58" s="159"/>
      <c r="L58" s="159"/>
      <c r="N58" s="162"/>
      <c r="O58" s="162"/>
      <c r="P58" s="162"/>
      <c r="Q58" s="162"/>
      <c r="R58" s="162"/>
      <c r="S58" s="162"/>
      <c r="T58" s="162"/>
      <c r="U58" s="162"/>
      <c r="V58" s="162"/>
      <c r="W58" s="162"/>
    </row>
    <row r="59" spans="1:23" ht="12.75" hidden="1">
      <c r="A59" s="310"/>
      <c r="B59" s="310"/>
      <c r="C59" s="310"/>
      <c r="D59" s="310"/>
      <c r="E59" s="311"/>
      <c r="F59" s="310"/>
      <c r="G59" s="310"/>
      <c r="H59" s="312"/>
      <c r="I59" s="312"/>
      <c r="J59" s="190"/>
      <c r="K59" s="159"/>
      <c r="L59" s="159"/>
      <c r="N59" s="162"/>
      <c r="O59" s="162"/>
      <c r="P59" s="162"/>
      <c r="Q59" s="162"/>
      <c r="R59" s="162"/>
      <c r="S59" s="162"/>
      <c r="T59" s="162"/>
      <c r="U59" s="162"/>
      <c r="V59" s="162"/>
      <c r="W59" s="162"/>
    </row>
    <row r="60" spans="1:23" ht="12.75" hidden="1">
      <c r="A60" s="310"/>
      <c r="B60" s="310"/>
      <c r="C60" s="310"/>
      <c r="D60" s="310"/>
      <c r="E60" s="311"/>
      <c r="F60" s="310"/>
      <c r="G60" s="310"/>
      <c r="H60" s="312"/>
      <c r="I60" s="312"/>
      <c r="J60" s="190"/>
      <c r="K60" s="159"/>
      <c r="L60" s="159"/>
      <c r="N60" s="162"/>
      <c r="O60" s="162"/>
      <c r="P60" s="162"/>
      <c r="Q60" s="162"/>
      <c r="R60" s="162"/>
      <c r="S60" s="162"/>
      <c r="T60" s="162"/>
      <c r="U60" s="162"/>
      <c r="V60" s="162"/>
      <c r="W60" s="162"/>
    </row>
    <row r="61" spans="1:23" ht="12.75" hidden="1">
      <c r="A61" s="188"/>
      <c r="B61" s="188"/>
      <c r="C61" s="188"/>
      <c r="D61" s="188"/>
      <c r="E61" s="189"/>
      <c r="G61" s="188"/>
      <c r="H61" s="190"/>
      <c r="I61" s="190"/>
      <c r="J61" s="190"/>
      <c r="K61" s="159"/>
      <c r="L61" s="159"/>
      <c r="N61" s="162"/>
      <c r="O61" s="162"/>
      <c r="P61" s="162"/>
      <c r="Q61" s="162"/>
      <c r="R61" s="162"/>
      <c r="S61" s="162"/>
      <c r="T61" s="162"/>
      <c r="U61" s="162"/>
      <c r="V61" s="162"/>
      <c r="W61" s="162"/>
    </row>
    <row r="62" spans="1:23" ht="12.75" hidden="1">
      <c r="A62" s="188"/>
      <c r="B62" s="188"/>
      <c r="C62" s="188"/>
      <c r="D62" s="188"/>
      <c r="E62" s="189"/>
      <c r="G62" s="188"/>
      <c r="H62" s="190"/>
      <c r="I62" s="190"/>
      <c r="J62" s="190"/>
      <c r="N62" s="162"/>
      <c r="O62" s="162"/>
      <c r="P62" s="162"/>
      <c r="Q62" s="162"/>
      <c r="R62" s="162"/>
      <c r="S62" s="162"/>
      <c r="T62" s="162"/>
      <c r="U62" s="162"/>
      <c r="V62" s="162"/>
      <c r="W62" s="162"/>
    </row>
    <row r="63" spans="1:23" ht="12.75" hidden="1">
      <c r="A63" s="188"/>
      <c r="B63" s="188"/>
      <c r="C63" s="188"/>
      <c r="D63" s="188"/>
      <c r="E63" s="189"/>
      <c r="G63" s="188"/>
      <c r="H63" s="190"/>
      <c r="I63" s="190"/>
      <c r="J63" s="190"/>
      <c r="N63" s="162"/>
      <c r="O63" s="162"/>
      <c r="P63" s="162"/>
      <c r="Q63" s="162"/>
      <c r="R63" s="162"/>
      <c r="S63" s="162"/>
      <c r="T63" s="162"/>
      <c r="U63" s="162"/>
      <c r="V63" s="162"/>
      <c r="W63" s="162"/>
    </row>
    <row r="64" spans="1:23" ht="12.75" hidden="1">
      <c r="A64" s="188"/>
      <c r="B64" s="188"/>
      <c r="C64" s="188"/>
      <c r="D64" s="188"/>
      <c r="E64" s="189"/>
      <c r="G64" s="188"/>
      <c r="N64" s="162"/>
      <c r="O64" s="162"/>
      <c r="P64" s="162"/>
      <c r="Q64" s="162"/>
      <c r="R64" s="162"/>
      <c r="S64" s="162"/>
      <c r="T64" s="162"/>
      <c r="U64" s="162"/>
      <c r="V64" s="162"/>
      <c r="W64" s="162"/>
    </row>
    <row r="65" spans="1:23" ht="12.75" hidden="1">
      <c r="A65" s="188"/>
      <c r="B65" s="188"/>
      <c r="C65" s="188"/>
      <c r="D65" s="188"/>
      <c r="E65" s="189"/>
      <c r="G65" s="188"/>
      <c r="N65" s="162"/>
      <c r="O65" s="162"/>
      <c r="P65" s="162"/>
      <c r="Q65" s="162"/>
      <c r="R65" s="162"/>
      <c r="S65" s="162"/>
      <c r="T65" s="162"/>
      <c r="U65" s="162"/>
      <c r="V65" s="162"/>
      <c r="W65" s="162"/>
    </row>
    <row r="66" spans="4:23" ht="12.75" hidden="1">
      <c r="D66" s="192"/>
      <c r="E66" s="193"/>
      <c r="F66" s="192"/>
      <c r="G66" s="188"/>
      <c r="N66" s="162"/>
      <c r="O66" s="162"/>
      <c r="P66" s="162"/>
      <c r="Q66" s="162"/>
      <c r="R66" s="162"/>
      <c r="S66" s="162"/>
      <c r="T66" s="162"/>
      <c r="U66" s="162"/>
      <c r="V66" s="162"/>
      <c r="W66" s="162"/>
    </row>
    <row r="67" spans="4:23" ht="12.75" hidden="1">
      <c r="D67" s="192"/>
      <c r="E67" s="193"/>
      <c r="F67" s="192"/>
      <c r="G67" s="188"/>
      <c r="N67" s="162"/>
      <c r="O67" s="162"/>
      <c r="P67" s="162"/>
      <c r="Q67" s="162"/>
      <c r="R67" s="162"/>
      <c r="S67" s="162"/>
      <c r="T67" s="162"/>
      <c r="U67" s="162"/>
      <c r="V67" s="162"/>
      <c r="W67" s="162"/>
    </row>
    <row r="68" spans="4:23" ht="12.75" hidden="1">
      <c r="D68" s="192"/>
      <c r="E68" s="193"/>
      <c r="F68" s="192"/>
      <c r="G68" s="188"/>
      <c r="N68" s="162"/>
      <c r="O68" s="162"/>
      <c r="P68" s="162"/>
      <c r="Q68" s="162"/>
      <c r="R68" s="162"/>
      <c r="S68" s="162"/>
      <c r="T68" s="162"/>
      <c r="U68" s="162"/>
      <c r="V68" s="162"/>
      <c r="W68" s="162"/>
    </row>
    <row r="69" spans="4:23" ht="12.75" hidden="1">
      <c r="D69" s="192"/>
      <c r="E69" s="193"/>
      <c r="F69" s="192"/>
      <c r="G69" s="188"/>
      <c r="N69" s="162"/>
      <c r="O69" s="162"/>
      <c r="P69" s="162"/>
      <c r="Q69" s="162"/>
      <c r="R69" s="162"/>
      <c r="S69" s="162"/>
      <c r="T69" s="162"/>
      <c r="U69" s="162"/>
      <c r="V69" s="162"/>
      <c r="W69" s="162"/>
    </row>
    <row r="70" spans="4:23" ht="12.75" hidden="1">
      <c r="D70" s="192"/>
      <c r="E70" s="193"/>
      <c r="F70" s="192"/>
      <c r="G70" s="188"/>
      <c r="N70" s="162"/>
      <c r="O70" s="162"/>
      <c r="P70" s="162"/>
      <c r="Q70" s="162"/>
      <c r="R70" s="162"/>
      <c r="S70" s="162"/>
      <c r="T70" s="162"/>
      <c r="U70" s="162"/>
      <c r="V70" s="162"/>
      <c r="W70" s="162"/>
    </row>
    <row r="71" spans="4:23" ht="12.75" hidden="1">
      <c r="D71" s="192"/>
      <c r="E71" s="193"/>
      <c r="F71" s="192"/>
      <c r="G71" s="188"/>
      <c r="N71" s="162"/>
      <c r="O71" s="162"/>
      <c r="P71" s="162"/>
      <c r="Q71" s="162"/>
      <c r="R71" s="162"/>
      <c r="S71" s="162"/>
      <c r="T71" s="162"/>
      <c r="U71" s="162"/>
      <c r="V71" s="162"/>
      <c r="W71" s="162"/>
    </row>
    <row r="72" spans="4:23" ht="12.75" hidden="1">
      <c r="D72" s="192"/>
      <c r="E72" s="193"/>
      <c r="F72" s="192"/>
      <c r="G72" s="188"/>
      <c r="N72" s="162"/>
      <c r="O72" s="162"/>
      <c r="P72" s="162"/>
      <c r="Q72" s="162"/>
      <c r="R72" s="162"/>
      <c r="S72" s="162"/>
      <c r="T72" s="162"/>
      <c r="U72" s="162"/>
      <c r="V72" s="162"/>
      <c r="W72" s="162"/>
    </row>
    <row r="73" spans="4:23" ht="12.75" hidden="1">
      <c r="D73" s="192"/>
      <c r="E73" s="193"/>
      <c r="F73" s="192"/>
      <c r="G73" s="188"/>
      <c r="N73" s="162"/>
      <c r="O73" s="162"/>
      <c r="P73" s="162"/>
      <c r="Q73" s="162"/>
      <c r="R73" s="162"/>
      <c r="S73" s="162"/>
      <c r="T73" s="162"/>
      <c r="U73" s="162"/>
      <c r="V73" s="162"/>
      <c r="W73" s="162"/>
    </row>
    <row r="74" spans="4:23" ht="12.75" hidden="1">
      <c r="D74" s="192"/>
      <c r="E74" s="193"/>
      <c r="F74" s="192"/>
      <c r="G74" s="188"/>
      <c r="N74" s="162"/>
      <c r="O74" s="162"/>
      <c r="P74" s="162"/>
      <c r="Q74" s="162"/>
      <c r="R74" s="162"/>
      <c r="S74" s="162"/>
      <c r="T74" s="162"/>
      <c r="U74" s="162"/>
      <c r="V74" s="162"/>
      <c r="W74" s="162"/>
    </row>
    <row r="75" spans="4:23" ht="12.75" hidden="1">
      <c r="D75" s="192"/>
      <c r="E75" s="193"/>
      <c r="F75" s="192"/>
      <c r="G75" s="188"/>
      <c r="N75" s="162"/>
      <c r="O75" s="162"/>
      <c r="P75" s="162"/>
      <c r="Q75" s="162"/>
      <c r="R75" s="162"/>
      <c r="S75" s="162"/>
      <c r="T75" s="162"/>
      <c r="U75" s="162"/>
      <c r="V75" s="162"/>
      <c r="W75" s="162"/>
    </row>
    <row r="76" spans="4:23" ht="12.75" hidden="1">
      <c r="D76" s="192"/>
      <c r="E76" s="193"/>
      <c r="F76" s="192"/>
      <c r="G76" s="188"/>
      <c r="N76" s="162"/>
      <c r="O76" s="162"/>
      <c r="P76" s="162"/>
      <c r="Q76" s="162"/>
      <c r="R76" s="162"/>
      <c r="S76" s="162"/>
      <c r="T76" s="162"/>
      <c r="U76" s="162"/>
      <c r="V76" s="162"/>
      <c r="W76" s="162"/>
    </row>
    <row r="77" spans="4:23" ht="12.75" hidden="1">
      <c r="D77" s="192"/>
      <c r="E77" s="193"/>
      <c r="F77" s="192"/>
      <c r="G77" s="188"/>
      <c r="N77" s="162"/>
      <c r="O77" s="162"/>
      <c r="P77" s="162"/>
      <c r="Q77" s="162"/>
      <c r="R77" s="162"/>
      <c r="S77" s="162"/>
      <c r="T77" s="162"/>
      <c r="U77" s="162"/>
      <c r="V77" s="162"/>
      <c r="W77" s="162"/>
    </row>
    <row r="78" spans="4:23" ht="12.75" hidden="1">
      <c r="D78" s="192"/>
      <c r="E78" s="193"/>
      <c r="F78" s="192"/>
      <c r="G78" s="188"/>
      <c r="N78" s="162"/>
      <c r="O78" s="162"/>
      <c r="P78" s="162"/>
      <c r="Q78" s="162"/>
      <c r="R78" s="162"/>
      <c r="S78" s="162"/>
      <c r="T78" s="162"/>
      <c r="U78" s="162"/>
      <c r="V78" s="162"/>
      <c r="W78" s="162"/>
    </row>
    <row r="79" spans="4:23" ht="12.75" hidden="1">
      <c r="D79" s="192"/>
      <c r="E79" s="193"/>
      <c r="F79" s="192"/>
      <c r="G79" s="188"/>
      <c r="N79" s="162"/>
      <c r="O79" s="162"/>
      <c r="P79" s="162"/>
      <c r="Q79" s="162"/>
      <c r="R79" s="162"/>
      <c r="S79" s="162"/>
      <c r="T79" s="162"/>
      <c r="U79" s="162"/>
      <c r="V79" s="162"/>
      <c r="W79" s="162"/>
    </row>
    <row r="80" spans="4:23" ht="12.75" hidden="1">
      <c r="D80" s="192"/>
      <c r="E80" s="193"/>
      <c r="F80" s="192"/>
      <c r="G80" s="188"/>
      <c r="N80" s="162"/>
      <c r="O80" s="162"/>
      <c r="P80" s="162"/>
      <c r="Q80" s="162"/>
      <c r="R80" s="162"/>
      <c r="S80" s="162"/>
      <c r="T80" s="162"/>
      <c r="U80" s="162"/>
      <c r="V80" s="162"/>
      <c r="W80" s="162"/>
    </row>
    <row r="81" spans="4:23" ht="12.75" hidden="1">
      <c r="D81" s="192"/>
      <c r="E81" s="193"/>
      <c r="F81" s="192"/>
      <c r="G81" s="188"/>
      <c r="N81" s="162"/>
      <c r="O81" s="162"/>
      <c r="P81" s="162"/>
      <c r="Q81" s="162"/>
      <c r="R81" s="162"/>
      <c r="S81" s="162"/>
      <c r="T81" s="162"/>
      <c r="U81" s="162"/>
      <c r="V81" s="162"/>
      <c r="W81" s="162"/>
    </row>
    <row r="82" spans="4:23" ht="12.75" hidden="1">
      <c r="D82" s="192"/>
      <c r="E82" s="193"/>
      <c r="F82" s="192"/>
      <c r="G82" s="188"/>
      <c r="N82" s="162"/>
      <c r="O82" s="162"/>
      <c r="P82" s="162"/>
      <c r="Q82" s="162"/>
      <c r="R82" s="162"/>
      <c r="S82" s="162"/>
      <c r="T82" s="162"/>
      <c r="U82" s="162"/>
      <c r="V82" s="162"/>
      <c r="W82" s="162"/>
    </row>
    <row r="83" spans="4:23" ht="12.75" hidden="1">
      <c r="D83" s="192"/>
      <c r="E83" s="193"/>
      <c r="F83" s="192"/>
      <c r="G83" s="188"/>
      <c r="N83" s="162"/>
      <c r="O83" s="162"/>
      <c r="P83" s="162"/>
      <c r="Q83" s="162"/>
      <c r="R83" s="162"/>
      <c r="S83" s="162"/>
      <c r="T83" s="162"/>
      <c r="U83" s="162"/>
      <c r="V83" s="162"/>
      <c r="W83" s="162"/>
    </row>
    <row r="84" spans="4:23" ht="12.75" hidden="1">
      <c r="D84" s="192"/>
      <c r="E84" s="193"/>
      <c r="F84" s="192"/>
      <c r="G84" s="188"/>
      <c r="N84" s="162"/>
      <c r="O84" s="162"/>
      <c r="P84" s="162"/>
      <c r="Q84" s="162"/>
      <c r="R84" s="162"/>
      <c r="S84" s="162"/>
      <c r="T84" s="162"/>
      <c r="U84" s="162"/>
      <c r="V84" s="162"/>
      <c r="W84" s="162"/>
    </row>
    <row r="85" spans="4:23" ht="12.75" hidden="1">
      <c r="D85" s="192"/>
      <c r="E85" s="193"/>
      <c r="F85" s="192"/>
      <c r="G85" s="188"/>
      <c r="N85" s="162"/>
      <c r="O85" s="162"/>
      <c r="P85" s="162"/>
      <c r="Q85" s="162"/>
      <c r="R85" s="162"/>
      <c r="S85" s="162"/>
      <c r="T85" s="162"/>
      <c r="U85" s="162"/>
      <c r="V85" s="162"/>
      <c r="W85" s="162"/>
    </row>
    <row r="86" spans="4:23" ht="12.75" hidden="1">
      <c r="D86" s="192"/>
      <c r="E86" s="193"/>
      <c r="F86" s="192"/>
      <c r="G86" s="188"/>
      <c r="N86" s="162"/>
      <c r="O86" s="162"/>
      <c r="P86" s="162"/>
      <c r="Q86" s="162"/>
      <c r="R86" s="162"/>
      <c r="S86" s="162"/>
      <c r="T86" s="162"/>
      <c r="U86" s="162"/>
      <c r="V86" s="162"/>
      <c r="W86" s="162"/>
    </row>
    <row r="87" spans="4:23" ht="12.75" hidden="1">
      <c r="D87" s="192"/>
      <c r="E87" s="193"/>
      <c r="F87" s="192"/>
      <c r="G87" s="188"/>
      <c r="N87" s="162"/>
      <c r="O87" s="162"/>
      <c r="P87" s="162"/>
      <c r="Q87" s="162"/>
      <c r="R87" s="162"/>
      <c r="S87" s="162"/>
      <c r="T87" s="162"/>
      <c r="U87" s="162"/>
      <c r="V87" s="162"/>
      <c r="W87" s="162"/>
    </row>
    <row r="88" spans="4:23" ht="12.75" hidden="1">
      <c r="D88" s="192"/>
      <c r="E88" s="193"/>
      <c r="F88" s="192"/>
      <c r="G88" s="188"/>
      <c r="N88" s="162"/>
      <c r="O88" s="162"/>
      <c r="P88" s="162"/>
      <c r="Q88" s="162"/>
      <c r="R88" s="162"/>
      <c r="S88" s="162"/>
      <c r="T88" s="162"/>
      <c r="U88" s="162"/>
      <c r="V88" s="162"/>
      <c r="W88" s="162"/>
    </row>
    <row r="89" spans="4:23" ht="12.75" hidden="1">
      <c r="D89" s="192"/>
      <c r="E89" s="193"/>
      <c r="F89" s="192"/>
      <c r="G89" s="188"/>
      <c r="N89" s="162"/>
      <c r="O89" s="162"/>
      <c r="P89" s="162"/>
      <c r="Q89" s="162"/>
      <c r="R89" s="162"/>
      <c r="S89" s="162"/>
      <c r="T89" s="162"/>
      <c r="U89" s="162"/>
      <c r="V89" s="162"/>
      <c r="W89" s="162"/>
    </row>
    <row r="90" spans="4:23" ht="12.75" hidden="1">
      <c r="D90" s="192"/>
      <c r="E90" s="193"/>
      <c r="F90" s="192"/>
      <c r="G90" s="188"/>
      <c r="N90" s="162"/>
      <c r="O90" s="162"/>
      <c r="P90" s="162"/>
      <c r="Q90" s="162"/>
      <c r="R90" s="162"/>
      <c r="S90" s="162"/>
      <c r="T90" s="162"/>
      <c r="U90" s="162"/>
      <c r="V90" s="162"/>
      <c r="W90" s="162"/>
    </row>
    <row r="91" spans="4:23" ht="12.75" hidden="1">
      <c r="D91" s="192"/>
      <c r="E91" s="193"/>
      <c r="F91" s="192"/>
      <c r="G91" s="188"/>
      <c r="N91" s="162"/>
      <c r="O91" s="162"/>
      <c r="P91" s="162"/>
      <c r="Q91" s="162"/>
      <c r="R91" s="162"/>
      <c r="S91" s="162"/>
      <c r="T91" s="162"/>
      <c r="U91" s="162"/>
      <c r="V91" s="162"/>
      <c r="W91" s="162"/>
    </row>
    <row r="92" spans="4:23" ht="12.75" hidden="1">
      <c r="D92" s="192"/>
      <c r="E92" s="193"/>
      <c r="F92" s="192"/>
      <c r="G92" s="188"/>
      <c r="N92" s="162"/>
      <c r="O92" s="162"/>
      <c r="P92" s="162"/>
      <c r="Q92" s="162"/>
      <c r="R92" s="162"/>
      <c r="S92" s="162"/>
      <c r="T92" s="162"/>
      <c r="U92" s="162"/>
      <c r="V92" s="162"/>
      <c r="W92" s="162"/>
    </row>
    <row r="93" spans="4:23" ht="12.75" hidden="1">
      <c r="D93" s="192"/>
      <c r="E93" s="193"/>
      <c r="F93" s="192"/>
      <c r="G93" s="188"/>
      <c r="N93" s="162"/>
      <c r="O93" s="162"/>
      <c r="P93" s="162"/>
      <c r="Q93" s="162"/>
      <c r="R93" s="162"/>
      <c r="S93" s="162"/>
      <c r="T93" s="162"/>
      <c r="U93" s="162"/>
      <c r="V93" s="162"/>
      <c r="W93" s="162"/>
    </row>
    <row r="94" spans="4:23" ht="12.75" hidden="1">
      <c r="D94" s="192"/>
      <c r="E94" s="193"/>
      <c r="F94" s="192"/>
      <c r="G94" s="188"/>
      <c r="N94" s="162"/>
      <c r="O94" s="162"/>
      <c r="P94" s="162"/>
      <c r="Q94" s="162"/>
      <c r="R94" s="162"/>
      <c r="S94" s="162"/>
      <c r="T94" s="162"/>
      <c r="U94" s="162"/>
      <c r="V94" s="162"/>
      <c r="W94" s="162"/>
    </row>
    <row r="95" spans="4:23" ht="12.75" hidden="1">
      <c r="D95" s="192"/>
      <c r="E95" s="193"/>
      <c r="F95" s="192"/>
      <c r="G95" s="188"/>
      <c r="N95" s="162"/>
      <c r="O95" s="162"/>
      <c r="P95" s="162"/>
      <c r="Q95" s="162"/>
      <c r="R95" s="162"/>
      <c r="S95" s="162"/>
      <c r="T95" s="162"/>
      <c r="U95" s="162"/>
      <c r="V95" s="162"/>
      <c r="W95" s="162"/>
    </row>
    <row r="96" spans="4:23" ht="12.75" hidden="1">
      <c r="D96" s="192"/>
      <c r="E96" s="193"/>
      <c r="F96" s="192"/>
      <c r="G96" s="188"/>
      <c r="N96" s="162"/>
      <c r="O96" s="162"/>
      <c r="P96" s="162"/>
      <c r="Q96" s="162"/>
      <c r="R96" s="162"/>
      <c r="S96" s="162"/>
      <c r="T96" s="162"/>
      <c r="U96" s="162"/>
      <c r="V96" s="162"/>
      <c r="W96" s="162"/>
    </row>
    <row r="97" spans="4:23" ht="12.75" hidden="1">
      <c r="D97" s="192"/>
      <c r="E97" s="193"/>
      <c r="F97" s="192"/>
      <c r="G97" s="188"/>
      <c r="N97" s="162"/>
      <c r="O97" s="162"/>
      <c r="P97" s="162"/>
      <c r="Q97" s="162"/>
      <c r="R97" s="162"/>
      <c r="S97" s="162"/>
      <c r="T97" s="162"/>
      <c r="U97" s="162"/>
      <c r="V97" s="162"/>
      <c r="W97" s="162"/>
    </row>
    <row r="98" spans="4:23" ht="12.75" hidden="1">
      <c r="D98" s="192"/>
      <c r="E98" s="193"/>
      <c r="F98" s="192"/>
      <c r="G98" s="188"/>
      <c r="N98" s="162"/>
      <c r="O98" s="162"/>
      <c r="P98" s="162"/>
      <c r="Q98" s="162"/>
      <c r="R98" s="162"/>
      <c r="S98" s="162"/>
      <c r="T98" s="162"/>
      <c r="U98" s="162"/>
      <c r="V98" s="162"/>
      <c r="W98" s="162"/>
    </row>
    <row r="99" spans="4:23" ht="12.75" hidden="1">
      <c r="D99" s="192"/>
      <c r="E99" s="193"/>
      <c r="F99" s="192"/>
      <c r="G99" s="188"/>
      <c r="N99" s="162"/>
      <c r="O99" s="162"/>
      <c r="P99" s="162"/>
      <c r="Q99" s="162"/>
      <c r="R99" s="162"/>
      <c r="S99" s="162"/>
      <c r="T99" s="162"/>
      <c r="U99" s="162"/>
      <c r="V99" s="162"/>
      <c r="W99" s="162"/>
    </row>
    <row r="100" spans="14:23" ht="12.75" hidden="1">
      <c r="N100" s="162"/>
      <c r="O100" s="162"/>
      <c r="P100" s="162"/>
      <c r="Q100" s="162"/>
      <c r="R100" s="162"/>
      <c r="S100" s="162"/>
      <c r="T100" s="162"/>
      <c r="U100" s="162"/>
      <c r="V100" s="162"/>
      <c r="W100" s="162"/>
    </row>
  </sheetData>
  <sheetProtection selectLockedCells="1"/>
  <mergeCells count="16">
    <mergeCell ref="A13:A16"/>
    <mergeCell ref="G21:G22"/>
    <mergeCell ref="H21:H22"/>
    <mergeCell ref="I21:I22"/>
    <mergeCell ref="J21:J22"/>
    <mergeCell ref="B21:E21"/>
    <mergeCell ref="J23:J39"/>
    <mergeCell ref="A19:J19"/>
    <mergeCell ref="J6:J12"/>
    <mergeCell ref="A1:B1"/>
    <mergeCell ref="A21:A22"/>
    <mergeCell ref="F21:F22"/>
    <mergeCell ref="J13:J16"/>
    <mergeCell ref="A3:J3"/>
    <mergeCell ref="A5:E5"/>
    <mergeCell ref="A6:A12"/>
  </mergeCells>
  <printOptions/>
  <pageMargins left="0.7480314960629921" right="0.7480314960629921" top="0.6692913385826772" bottom="0.7086614173228347" header="0.5118110236220472" footer="0.5118110236220472"/>
  <pageSetup fitToHeight="1" fitToWidth="1" orientation="portrait" paperSize="9" scale="85" r:id="rId5"/>
  <headerFooter alignWithMargins="0">
    <oddFooter>&amp;L&amp;"Calibri,Regular"&amp;8Model owned by CnCI and InEnergy&amp;R&amp;"Calibri,Regular"&amp;8Designed by   &amp;10&amp;G</oddFooter>
  </headerFooter>
  <colBreaks count="2" manualBreakCount="2">
    <brk id="12" max="45" man="1"/>
    <brk id="13" max="65535" man="1"/>
  </colBreaks>
  <drawing r:id="rId3"/>
  <legacyDrawing r:id="rId2"/>
  <legacyDrawingHF r:id="rId4"/>
</worksheet>
</file>

<file path=xl/worksheets/sheet8.xml><?xml version="1.0" encoding="utf-8"?>
<worksheet xmlns="http://schemas.openxmlformats.org/spreadsheetml/2006/main" xmlns:r="http://schemas.openxmlformats.org/officeDocument/2006/relationships">
  <dimension ref="A3:D136"/>
  <sheetViews>
    <sheetView zoomScalePageLayoutView="0" workbookViewId="0" topLeftCell="A139">
      <selection activeCell="A154" sqref="A154"/>
    </sheetView>
  </sheetViews>
  <sheetFormatPr defaultColWidth="9.140625" defaultRowHeight="12.75"/>
  <cols>
    <col min="1" max="1" width="16.7109375" style="0" customWidth="1"/>
  </cols>
  <sheetData>
    <row r="3" spans="2:4" ht="12.75">
      <c r="B3" s="290" t="s">
        <v>15</v>
      </c>
      <c r="C3" s="290" t="s">
        <v>16</v>
      </c>
      <c r="D3" s="290" t="s">
        <v>17</v>
      </c>
    </row>
    <row r="4" spans="1:3" ht="12.75">
      <c r="A4" s="288" t="s">
        <v>9</v>
      </c>
      <c r="B4" s="289">
        <f>'Specific Emissions'!G10/'Specific Emissions'!F10</f>
        <v>0.56</v>
      </c>
      <c r="C4" s="289">
        <f>'Specific Emissions'!H10/'Specific Emissions'!F10</f>
        <v>0.44</v>
      </c>
    </row>
    <row r="21" spans="1:4" ht="12.75">
      <c r="A21" s="288" t="s">
        <v>1</v>
      </c>
      <c r="B21" s="289">
        <f>'Specific Emissions'!G7/'Specific Emissions'!F7</f>
        <v>0.3563432835820895</v>
      </c>
      <c r="C21" s="289">
        <f>'Specific Emissions'!H7/'Specific Emissions'!F7</f>
        <v>0.6436567164179104</v>
      </c>
      <c r="D21" s="289">
        <f>'Specific Emissions'!I7/'Specific Emissions'!F7</f>
        <v>0</v>
      </c>
    </row>
    <row r="40" spans="1:3" ht="12.75">
      <c r="A40" s="288" t="s">
        <v>2</v>
      </c>
      <c r="B40" s="289">
        <f>'Specific Emissions'!G8/'Specific Emissions'!F8</f>
        <v>0.009652810915981802</v>
      </c>
      <c r="C40" s="289">
        <f>'Specific Emissions'!H8/'Specific Emissions'!F8</f>
        <v>0.9903471890840182</v>
      </c>
    </row>
    <row r="59" spans="1:3" ht="12.75">
      <c r="A59" s="288" t="s">
        <v>105</v>
      </c>
      <c r="B59" s="289">
        <f>'Specific Emissions'!G9/'Specific Emissions'!F9</f>
        <v>0.41218451988079446</v>
      </c>
      <c r="C59" s="289">
        <f>'Specific Emissions'!H9/'Specific Emissions'!F9</f>
        <v>0.5878154801192056</v>
      </c>
    </row>
    <row r="78" spans="1:4" ht="12.75">
      <c r="A78" s="288" t="s">
        <v>124</v>
      </c>
      <c r="B78" s="289">
        <f>'Specific Emissions'!G16/'Specific Emissions'!F16</f>
        <v>0.06999692696836694</v>
      </c>
      <c r="C78" s="289">
        <f>'Specific Emissions'!H16/'Specific Emissions'!F16</f>
        <v>0.09754381611071122</v>
      </c>
      <c r="D78" s="289">
        <f>'Specific Emissions'!I16/'Specific Emissions'!F16</f>
        <v>0.8324592569209218</v>
      </c>
    </row>
    <row r="97" spans="1:4" ht="12.75">
      <c r="A97" s="288" t="s">
        <v>125</v>
      </c>
      <c r="B97" s="289">
        <f>'Specific Emissions'!G13/'Specific Emissions'!F13</f>
        <v>0.016600474803703687</v>
      </c>
      <c r="C97" s="289">
        <f>'Specific Emissions'!H13/'Specific Emissions'!F13</f>
        <v>0.5231657472018428</v>
      </c>
      <c r="D97" s="289">
        <f>'Specific Emissions'!I13/'Specific Emissions'!F13</f>
        <v>0.4602337779944535</v>
      </c>
    </row>
    <row r="117" spans="1:4" ht="12.75">
      <c r="A117" s="288" t="s">
        <v>126</v>
      </c>
      <c r="B117" s="289">
        <f>'Specific Emissions'!G23/'Specific Emissions'!F23</f>
        <v>0.8304095384593723</v>
      </c>
      <c r="C117" s="289">
        <f>'Specific Emissions'!H23/'Specific Emissions'!F23</f>
        <v>0.14744383484856358</v>
      </c>
      <c r="D117" s="289">
        <f>'Specific Emissions'!I23/'Specific Emissions'!F23</f>
        <v>0.022146626692064193</v>
      </c>
    </row>
    <row r="136" spans="1:4" ht="12.75">
      <c r="A136" s="288" t="s">
        <v>127</v>
      </c>
      <c r="B136" s="289">
        <f>'Specific Emissions'!G11/'Specific Emissions'!F11</f>
        <v>0.7</v>
      </c>
      <c r="C136" s="289">
        <f>'Specific Emissions'!H11/'Specific Emissions'!F11</f>
        <v>0.24</v>
      </c>
      <c r="D136" s="289">
        <f>'Specific Emissions'!I11/'Specific Emissions'!F11</f>
        <v>0.06</v>
      </c>
    </row>
  </sheetData>
  <sheetProtection password="A100" sheet="1" objects="1" scenarios="1" selectLockedCells="1" selectUnlockedCells="1"/>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Concrete CO2 Footprint</dc:title>
  <dc:subject/>
  <dc:creator>InEnergy: Ed Volek;Marc Wright</dc:creator>
  <cp:keywords/>
  <dc:description/>
  <cp:lastModifiedBy>Lore de Bernier</cp:lastModifiedBy>
  <cp:lastPrinted>2010-08-02T21:46:06Z</cp:lastPrinted>
  <dcterms:created xsi:type="dcterms:W3CDTF">2009-03-11T07:01:01Z</dcterms:created>
  <dcterms:modified xsi:type="dcterms:W3CDTF">2021-03-27T10:15:43Z</dcterms:modified>
  <cp:category/>
  <cp:version/>
  <cp:contentType/>
  <cp:contentStatus/>
</cp:coreProperties>
</file>